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AR\photographs\zW\zT\_work\"/>
    </mc:Choice>
  </mc:AlternateContent>
  <bookViews>
    <workbookView xWindow="480" yWindow="30" windowWidth="8475" windowHeight="4725"/>
  </bookViews>
  <sheets>
    <sheet name="Sheet1" sheetId="1" r:id="rId1"/>
    <sheet name="Sheet2" sheetId="3" r:id="rId2"/>
  </sheets>
  <calcPr calcId="152511"/>
</workbook>
</file>

<file path=xl/calcChain.xml><?xml version="1.0" encoding="utf-8"?>
<calcChain xmlns="http://schemas.openxmlformats.org/spreadsheetml/2006/main">
  <c r="H4" i="1" l="1"/>
  <c r="F2" i="3" l="1"/>
  <c r="F3" i="3" l="1"/>
  <c r="F1" i="3"/>
  <c r="G1" i="3"/>
  <c r="Q18" i="3" l="1"/>
  <c r="Q17" i="3"/>
  <c r="M17" i="3"/>
  <c r="I17" i="3"/>
  <c r="Q16" i="3"/>
  <c r="M16" i="3"/>
  <c r="I16" i="3"/>
  <c r="E17" i="3"/>
  <c r="P17" i="3"/>
  <c r="L17" i="3"/>
  <c r="H17" i="3"/>
  <c r="P16" i="3"/>
  <c r="L16" i="3"/>
  <c r="H16" i="3"/>
  <c r="E16" i="3"/>
  <c r="O17" i="3"/>
  <c r="K17" i="3"/>
  <c r="G17" i="3"/>
  <c r="O16" i="3"/>
  <c r="K16" i="3"/>
  <c r="G16" i="3"/>
  <c r="N17" i="3"/>
  <c r="J17" i="3"/>
  <c r="F17" i="3"/>
  <c r="N16" i="3"/>
  <c r="J16" i="3"/>
  <c r="F16" i="3"/>
  <c r="F18" i="3"/>
  <c r="J18" i="3"/>
  <c r="N18" i="3"/>
  <c r="G18" i="3"/>
  <c r="K18" i="3"/>
  <c r="O18" i="3"/>
  <c r="H18" i="3"/>
  <c r="L18" i="3"/>
  <c r="P18" i="3"/>
  <c r="E18" i="3"/>
  <c r="I18" i="3"/>
  <c r="M18" i="3"/>
  <c r="S4" i="1"/>
  <c r="S7" i="1" l="1"/>
  <c r="S6" i="1"/>
  <c r="L19" i="3"/>
  <c r="L8" i="3" s="1"/>
  <c r="K19" i="3"/>
  <c r="K8" i="3" s="1"/>
  <c r="H19" i="3"/>
  <c r="H8" i="3" s="1"/>
  <c r="O19" i="3"/>
  <c r="O8" i="3" s="1"/>
  <c r="Q19" i="3"/>
  <c r="Q8" i="3" s="1"/>
  <c r="P19" i="3"/>
  <c r="P8" i="3" s="1"/>
  <c r="F19" i="3"/>
  <c r="F8" i="3" s="1"/>
  <c r="M19" i="3"/>
  <c r="M8" i="3" s="1"/>
  <c r="G19" i="3"/>
  <c r="G8" i="3" s="1"/>
  <c r="I19" i="3"/>
  <c r="I8" i="3" s="1"/>
  <c r="N19" i="3"/>
  <c r="N8" i="3" s="1"/>
  <c r="E19" i="3"/>
  <c r="E8" i="3" s="1"/>
  <c r="J19" i="3"/>
  <c r="J8" i="3" s="1"/>
  <c r="I11" i="3" l="1"/>
  <c r="I14" i="3" s="1"/>
  <c r="H18" i="1" s="1"/>
  <c r="O12" i="1"/>
  <c r="P11" i="3"/>
  <c r="K12" i="3"/>
  <c r="K11" i="3"/>
  <c r="K14" i="3" s="1"/>
  <c r="J18" i="1" s="1"/>
  <c r="I12" i="1"/>
  <c r="J11" i="3"/>
  <c r="J14" i="3" s="1"/>
  <c r="I18" i="1" s="1"/>
  <c r="G11" i="3"/>
  <c r="G14" i="3" s="1"/>
  <c r="F18" i="1" s="1"/>
  <c r="Q9" i="3"/>
  <c r="Q13" i="3"/>
  <c r="Q11" i="3"/>
  <c r="Q14" i="3" s="1"/>
  <c r="P18" i="1" s="1"/>
  <c r="K12" i="1"/>
  <c r="L11" i="3"/>
  <c r="L14" i="3" s="1"/>
  <c r="K18" i="1" s="1"/>
  <c r="D12" i="1"/>
  <c r="D25" i="1" s="1"/>
  <c r="E13" i="3"/>
  <c r="E11" i="3"/>
  <c r="E14" i="3" s="1"/>
  <c r="D18" i="1" s="1"/>
  <c r="M11" i="3"/>
  <c r="M14" i="3" s="1"/>
  <c r="L18" i="1" s="1"/>
  <c r="O11" i="3"/>
  <c r="O14" i="3" s="1"/>
  <c r="N18" i="1" s="1"/>
  <c r="M12" i="1"/>
  <c r="N11" i="3"/>
  <c r="N14" i="3" s="1"/>
  <c r="M18" i="1" s="1"/>
  <c r="F11" i="3"/>
  <c r="F14" i="3" s="1"/>
  <c r="E18" i="1" s="1"/>
  <c r="G12" i="1"/>
  <c r="H11" i="3"/>
  <c r="L12" i="3"/>
  <c r="L10" i="3"/>
  <c r="L9" i="3"/>
  <c r="O10" i="3"/>
  <c r="H14" i="3"/>
  <c r="G18" i="1" s="1"/>
  <c r="H10" i="3"/>
  <c r="H9" i="3"/>
  <c r="H13" i="3" s="1"/>
  <c r="H12" i="3"/>
  <c r="J12" i="1"/>
  <c r="H12" i="1"/>
  <c r="F9" i="3"/>
  <c r="F13" i="3" s="1"/>
  <c r="E12" i="1"/>
  <c r="P12" i="1"/>
  <c r="F12" i="1"/>
  <c r="O9" i="3"/>
  <c r="O13" i="3" s="1"/>
  <c r="N12" i="1"/>
  <c r="L12" i="1"/>
  <c r="K9" i="3"/>
  <c r="K13" i="3" s="1"/>
  <c r="K10" i="3"/>
  <c r="O12" i="3"/>
  <c r="Q12" i="3"/>
  <c r="Q10" i="3"/>
  <c r="F10" i="3"/>
  <c r="F12" i="3"/>
  <c r="P14" i="3"/>
  <c r="O18" i="1" s="1"/>
  <c r="P10" i="3"/>
  <c r="P12" i="3"/>
  <c r="P9" i="3"/>
  <c r="M9" i="3"/>
  <c r="M13" i="3" s="1"/>
  <c r="I12" i="3"/>
  <c r="M12" i="3"/>
  <c r="G12" i="3"/>
  <c r="J12" i="3"/>
  <c r="I9" i="3"/>
  <c r="G9" i="3"/>
  <c r="N12" i="3"/>
  <c r="I10" i="3"/>
  <c r="G10" i="3"/>
  <c r="E10" i="3"/>
  <c r="E9" i="3"/>
  <c r="D17" i="1" s="1"/>
  <c r="E12" i="3"/>
  <c r="N10" i="3"/>
  <c r="N9" i="3"/>
  <c r="M10" i="3"/>
  <c r="J10" i="3"/>
  <c r="J9" i="3"/>
  <c r="J13" i="3" s="1"/>
  <c r="D19" i="1" l="1"/>
  <c r="D26" i="1"/>
  <c r="D24" i="1"/>
  <c r="G13" i="3"/>
  <c r="F17" i="1" s="1"/>
  <c r="P13" i="3"/>
  <c r="O17" i="1" s="1"/>
  <c r="E17" i="1"/>
  <c r="P19" i="1"/>
  <c r="P26" i="1"/>
  <c r="P24" i="1"/>
  <c r="N13" i="3"/>
  <c r="M17" i="1" s="1"/>
  <c r="L13" i="3"/>
  <c r="K17" i="1" s="1"/>
  <c r="P17" i="1"/>
  <c r="I17" i="1"/>
  <c r="L17" i="1"/>
  <c r="J17" i="1"/>
  <c r="N17" i="1"/>
  <c r="G17" i="1"/>
  <c r="D22" i="1"/>
  <c r="I13" i="3"/>
  <c r="H17" i="1" s="1"/>
  <c r="P25" i="1"/>
  <c r="P22" i="1"/>
  <c r="J2" i="1"/>
  <c r="J4" i="1" l="1"/>
  <c r="H6" i="1"/>
  <c r="J6" i="1" s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D16" i="1" l="1"/>
  <c r="P16" i="1"/>
  <c r="P15" i="1"/>
  <c r="D15" i="1"/>
  <c r="K16" i="1"/>
  <c r="M16" i="1"/>
  <c r="O16" i="1"/>
  <c r="I16" i="1"/>
  <c r="G16" i="1"/>
  <c r="H16" i="1"/>
  <c r="E16" i="1"/>
  <c r="N16" i="1"/>
  <c r="L16" i="1"/>
  <c r="F16" i="1"/>
  <c r="J16" i="1"/>
  <c r="G15" i="1"/>
  <c r="G24" i="1" s="1"/>
  <c r="J15" i="1"/>
  <c r="J24" i="1" s="1"/>
  <c r="H15" i="1"/>
  <c r="H24" i="1" s="1"/>
  <c r="M15" i="1"/>
  <c r="M24" i="1" s="1"/>
  <c r="E15" i="1"/>
  <c r="E24" i="1" s="1"/>
  <c r="N15" i="1"/>
  <c r="N24" i="1" s="1"/>
  <c r="K15" i="1"/>
  <c r="K24" i="1" s="1"/>
  <c r="L15" i="1"/>
  <c r="L24" i="1" s="1"/>
  <c r="I15" i="1"/>
  <c r="I24" i="1" s="1"/>
  <c r="O15" i="1"/>
  <c r="O24" i="1" s="1"/>
  <c r="F15" i="1"/>
  <c r="F24" i="1" s="1"/>
  <c r="I25" i="1" l="1"/>
  <c r="I26" i="1" s="1"/>
  <c r="I19" i="1" s="1"/>
  <c r="E25" i="1"/>
  <c r="E26" i="1" s="1"/>
  <c r="E19" i="1" s="1"/>
  <c r="G25" i="1"/>
  <c r="G26" i="1" s="1"/>
  <c r="G19" i="1" s="1"/>
  <c r="L25" i="1"/>
  <c r="L26" i="1" s="1"/>
  <c r="L19" i="1" s="1"/>
  <c r="M25" i="1"/>
  <c r="M26" i="1" s="1"/>
  <c r="M19" i="1" s="1"/>
  <c r="F25" i="1"/>
  <c r="F26" i="1" s="1"/>
  <c r="F19" i="1" s="1"/>
  <c r="K25" i="1"/>
  <c r="K26" i="1" s="1"/>
  <c r="K19" i="1" s="1"/>
  <c r="H25" i="1"/>
  <c r="H26" i="1" s="1"/>
  <c r="H19" i="1" s="1"/>
  <c r="O25" i="1"/>
  <c r="O26" i="1" s="1"/>
  <c r="O19" i="1" s="1"/>
  <c r="N25" i="1"/>
  <c r="N26" i="1" s="1"/>
  <c r="N19" i="1" s="1"/>
  <c r="J25" i="1"/>
  <c r="J26" i="1" s="1"/>
  <c r="J19" i="1" s="1"/>
  <c r="D20" i="1"/>
  <c r="D21" i="1" s="1"/>
  <c r="O20" i="1" l="1"/>
  <c r="O21" i="1" s="1"/>
  <c r="O22" i="1" s="1"/>
  <c r="P20" i="1"/>
  <c r="P21" i="1" s="1"/>
  <c r="E20" i="1" l="1"/>
  <c r="E21" i="1" s="1"/>
  <c r="E22" i="1" s="1"/>
  <c r="J20" i="1"/>
  <c r="J21" i="1" s="1"/>
  <c r="J22" i="1" s="1"/>
  <c r="N20" i="1"/>
  <c r="N21" i="1" s="1"/>
  <c r="N22" i="1" s="1"/>
  <c r="L20" i="1"/>
  <c r="L21" i="1" s="1"/>
  <c r="L22" i="1" s="1"/>
  <c r="I20" i="1"/>
  <c r="I21" i="1" s="1"/>
  <c r="I22" i="1" s="1"/>
  <c r="H20" i="1"/>
  <c r="H21" i="1" s="1"/>
  <c r="H22" i="1" s="1"/>
  <c r="M20" i="1"/>
  <c r="M21" i="1" s="1"/>
  <c r="M22" i="1" s="1"/>
  <c r="K20" i="1"/>
  <c r="K21" i="1" s="1"/>
  <c r="K22" i="1" s="1"/>
  <c r="G20" i="1"/>
  <c r="G21" i="1" s="1"/>
  <c r="G22" i="1" s="1"/>
  <c r="F20" i="1"/>
  <c r="F21" i="1" s="1"/>
  <c r="F22" i="1" s="1"/>
</calcChain>
</file>

<file path=xl/sharedStrings.xml><?xml version="1.0" encoding="utf-8"?>
<sst xmlns="http://schemas.openxmlformats.org/spreadsheetml/2006/main" count="99" uniqueCount="86">
  <si>
    <t>(E)</t>
    <phoneticPr fontId="2"/>
  </si>
  <si>
    <t>(S)</t>
    <phoneticPr fontId="2"/>
  </si>
  <si>
    <t>(W)</t>
    <phoneticPr fontId="2"/>
  </si>
  <si>
    <t>δ</t>
  </si>
  <si>
    <t>)</t>
    <phoneticPr fontId="2"/>
  </si>
  <si>
    <t>Hp</t>
  </si>
  <si>
    <t>h</t>
    <phoneticPr fontId="2"/>
  </si>
  <si>
    <t>εp</t>
    <phoneticPr fontId="2"/>
  </si>
  <si>
    <t>)</t>
    <phoneticPr fontId="2"/>
  </si>
  <si>
    <t>赤経</t>
    <rPh sb="0" eb="1">
      <t>セキ</t>
    </rPh>
    <rPh sb="1" eb="2">
      <t>ケイ</t>
    </rPh>
    <phoneticPr fontId="2"/>
  </si>
  <si>
    <t>t</t>
    <phoneticPr fontId="2"/>
  </si>
  <si>
    <t>追尾時間</t>
    <phoneticPr fontId="2"/>
  </si>
  <si>
    <t>min</t>
    <phoneticPr fontId="2"/>
  </si>
  <si>
    <t>赤緯</t>
    <rPh sb="0" eb="2">
      <t>セキイ</t>
    </rPh>
    <phoneticPr fontId="2"/>
  </si>
  <si>
    <t>移動量</t>
    <rPh sb="0" eb="2">
      <t>イドウ</t>
    </rPh>
    <rPh sb="2" eb="3">
      <t>リョウ</t>
    </rPh>
    <phoneticPr fontId="2"/>
  </si>
  <si>
    <t>レンズ焦点距離</t>
    <rPh sb="3" eb="5">
      <t>ショウテン</t>
    </rPh>
    <rPh sb="5" eb="7">
      <t>キョリ</t>
    </rPh>
    <phoneticPr fontId="2"/>
  </si>
  <si>
    <t>mm</t>
    <phoneticPr fontId="2"/>
  </si>
  <si>
    <t>°      (</t>
    <phoneticPr fontId="2"/>
  </si>
  <si>
    <t>°      (</t>
    <phoneticPr fontId="2"/>
  </si>
  <si>
    <t>赤経</t>
    <rPh sb="0" eb="2">
      <t>セキケイ</t>
    </rPh>
    <phoneticPr fontId="2"/>
  </si>
  <si>
    <t>赤緯</t>
    <rPh sb="0" eb="2">
      <t>セキイ</t>
    </rPh>
    <phoneticPr fontId="2"/>
  </si>
  <si>
    <t>設置
誤差</t>
    <phoneticPr fontId="2"/>
  </si>
  <si>
    <t>方角</t>
  </si>
  <si>
    <t>時角</t>
  </si>
  <si>
    <t>H'</t>
  </si>
  <si>
    <t>全体</t>
  </si>
  <si>
    <t>極軸設置誤差</t>
    <rPh sb="0" eb="2">
      <t>キョクジク</t>
    </rPh>
    <rPh sb="2" eb="4">
      <t>セッチ</t>
    </rPh>
    <rPh sb="4" eb="6">
      <t>ゴサ</t>
    </rPh>
    <phoneticPr fontId="2"/>
  </si>
  <si>
    <t>*</t>
    <phoneticPr fontId="2"/>
  </si>
  <si>
    <t>改算</t>
    <rPh sb="0" eb="1">
      <t>アラタ</t>
    </rPh>
    <rPh sb="1" eb="2">
      <t>ザン</t>
    </rPh>
    <phoneticPr fontId="2"/>
  </si>
  <si>
    <t>A(")</t>
    <phoneticPr fontId="2"/>
  </si>
  <si>
    <t>L(μm)</t>
    <phoneticPr fontId="2"/>
  </si>
  <si>
    <t>〃</t>
  </si>
  <si>
    <t>(時角)</t>
    <phoneticPr fontId="2"/>
  </si>
  <si>
    <t>(赤緯)</t>
    <rPh sb="1" eb="3">
      <t>セキイ</t>
    </rPh>
    <phoneticPr fontId="2"/>
  </si>
  <si>
    <t>(角度)</t>
    <rPh sb="1" eb="3">
      <t>カクド</t>
    </rPh>
    <phoneticPr fontId="2"/>
  </si>
  <si>
    <t>"</t>
    <phoneticPr fontId="2"/>
  </si>
  <si>
    <t>大気差</t>
    <rPh sb="0" eb="3">
      <t>タイキサ</t>
    </rPh>
    <phoneticPr fontId="2"/>
  </si>
  <si>
    <t>赤経</t>
  </si>
  <si>
    <t>赤緯</t>
  </si>
  <si>
    <t>δ</t>
    <phoneticPr fontId="2"/>
  </si>
  <si>
    <t>追尾する天体の位置</t>
    <rPh sb="0" eb="2">
      <t>ツイビ</t>
    </rPh>
    <rPh sb="4" eb="6">
      <t>テンタイ</t>
    </rPh>
    <rPh sb="7" eb="9">
      <t>イチ</t>
    </rPh>
    <phoneticPr fontId="2"/>
  </si>
  <si>
    <t>φ</t>
  </si>
  <si>
    <t>観測地の緯度</t>
    <rPh sb="0" eb="3">
      <t>カンソクチ</t>
    </rPh>
    <rPh sb="4" eb="6">
      <t>イド</t>
    </rPh>
    <phoneticPr fontId="2"/>
  </si>
  <si>
    <t>°</t>
    <phoneticPr fontId="2"/>
  </si>
  <si>
    <t>追尾時間</t>
    <rPh sb="0" eb="2">
      <t>ツイビ</t>
    </rPh>
    <rPh sb="2" eb="4">
      <t>ジカン</t>
    </rPh>
    <phoneticPr fontId="2"/>
  </si>
  <si>
    <t>s</t>
    <phoneticPr fontId="2"/>
  </si>
  <si>
    <t>恒星時速度</t>
    <rPh sb="0" eb="3">
      <t>コウセイジ</t>
    </rPh>
    <rPh sb="3" eb="5">
      <t>ソクド</t>
    </rPh>
    <phoneticPr fontId="2"/>
  </si>
  <si>
    <t>"/回転</t>
    <rPh sb="2" eb="4">
      <t>カイテン</t>
    </rPh>
    <phoneticPr fontId="2"/>
  </si>
  <si>
    <t>H</t>
    <phoneticPr fontId="2"/>
  </si>
  <si>
    <t>時角</t>
    <rPh sb="0" eb="2">
      <t>ジカク</t>
    </rPh>
    <phoneticPr fontId="2"/>
  </si>
  <si>
    <t>a</t>
    <phoneticPr fontId="2"/>
  </si>
  <si>
    <t>corr.(avg)</t>
    <phoneticPr fontId="2"/>
  </si>
  <si>
    <t>修正速度/回転</t>
    <rPh sb="0" eb="2">
      <t>シュウセイ</t>
    </rPh>
    <rPh sb="2" eb="3">
      <t>ソクド</t>
    </rPh>
    <rPh sb="4" eb="6">
      <t>カイテン</t>
    </rPh>
    <phoneticPr fontId="2"/>
  </si>
  <si>
    <t>Rz</t>
    <phoneticPr fontId="2"/>
  </si>
  <si>
    <t>RA成分</t>
    <rPh sb="2" eb="4">
      <t>セイブン</t>
    </rPh>
    <phoneticPr fontId="2"/>
  </si>
  <si>
    <t>DEC〃</t>
    <phoneticPr fontId="2"/>
  </si>
  <si>
    <t>err/tracking time</t>
    <phoneticPr fontId="2"/>
  </si>
  <si>
    <t>RA</t>
    <phoneticPr fontId="2"/>
  </si>
  <si>
    <t>DEC</t>
    <phoneticPr fontId="2"/>
  </si>
  <si>
    <t>(1)</t>
    <phoneticPr fontId="2"/>
  </si>
  <si>
    <t>(2)</t>
    <phoneticPr fontId="2"/>
  </si>
  <si>
    <t>(3)</t>
    <phoneticPr fontId="2"/>
  </si>
  <si>
    <t>A</t>
    <phoneticPr fontId="2"/>
  </si>
  <si>
    <t>方位</t>
    <rPh sb="0" eb="2">
      <t>ホウイ</t>
    </rPh>
    <phoneticPr fontId="2"/>
  </si>
  <si>
    <t>追尾する天体の位置</t>
  </si>
  <si>
    <t xml:space="preserve">P </t>
    <phoneticPr fontId="2"/>
  </si>
  <si>
    <t xml:space="preserve">R </t>
    <phoneticPr fontId="2"/>
  </si>
  <si>
    <t>Σ</t>
    <phoneticPr fontId="2"/>
  </si>
  <si>
    <t>PE算入</t>
    <rPh sb="2" eb="4">
      <t>サンニュウ</t>
    </rPh>
    <phoneticPr fontId="2"/>
  </si>
  <si>
    <t>大気差算入</t>
    <rPh sb="0" eb="3">
      <t>タイキサ</t>
    </rPh>
    <rPh sb="3" eb="5">
      <t>サンニュウ</t>
    </rPh>
    <phoneticPr fontId="2"/>
  </si>
  <si>
    <t xml:space="preserve"> Teeth </t>
    <phoneticPr fontId="2"/>
  </si>
  <si>
    <t xml:space="preserve"> PE(±)</t>
    <phoneticPr fontId="2"/>
  </si>
  <si>
    <t>cosh・sinA</t>
    <phoneticPr fontId="2"/>
  </si>
  <si>
    <t>cosh・cosA</t>
    <phoneticPr fontId="2"/>
  </si>
  <si>
    <t>sinh</t>
    <phoneticPr fontId="2"/>
  </si>
  <si>
    <t>高度</t>
    <rPh sb="0" eb="2">
      <t>コウド</t>
    </rPh>
    <phoneticPr fontId="2"/>
  </si>
  <si>
    <t>on</t>
  </si>
  <si>
    <t xml:space="preserve"> phase</t>
    <phoneticPr fontId="2"/>
  </si>
  <si>
    <t>逆相の場合は"-"を入力</t>
    <phoneticPr fontId="2"/>
  </si>
  <si>
    <t>PE</t>
    <phoneticPr fontId="2"/>
  </si>
  <si>
    <t>′   →</t>
    <phoneticPr fontId="2"/>
  </si>
  <si>
    <t>Err
(RA)</t>
    <phoneticPr fontId="2"/>
  </si>
  <si>
    <t>Pp</t>
    <phoneticPr fontId="2"/>
  </si>
  <si>
    <t>Rp</t>
    <phoneticPr fontId="2"/>
  </si>
  <si>
    <t>sec/1回転</t>
    <rPh sb="5" eb="7">
      <t>カイテン</t>
    </rPh>
    <phoneticPr fontId="2"/>
  </si>
  <si>
    <t xml:space="preserve"> Warm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</si>
</sst>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;[Red]0.0"/>
    <numFmt numFmtId="177" formatCode="0;[Red]0"/>
    <numFmt numFmtId="178" formatCode="0.0;[Red]\-0.0"/>
    <numFmt numFmtId="179" formatCode="0;[Red]\-0"/>
    <numFmt numFmtId="180" formatCode="0.00;[Red]\-0.00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Fill="1"/>
    <xf numFmtId="0" fontId="0" fillId="2" borderId="0" xfId="0" applyFill="1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1" fillId="0" borderId="0" xfId="0" applyFont="1"/>
    <xf numFmtId="0" fontId="0" fillId="0" borderId="0" xfId="0" quotePrefix="1"/>
    <xf numFmtId="0" fontId="0" fillId="0" borderId="0" xfId="0" applyAlignment="1">
      <alignment horizontal="right"/>
    </xf>
    <xf numFmtId="0" fontId="0" fillId="0" borderId="4" xfId="0" applyBorder="1"/>
    <xf numFmtId="177" fontId="0" fillId="0" borderId="0" xfId="0" applyNumberFormat="1"/>
    <xf numFmtId="0" fontId="3" fillId="2" borderId="0" xfId="0" applyFont="1" applyFill="1"/>
    <xf numFmtId="0" fontId="0" fillId="4" borderId="0" xfId="0" applyFill="1"/>
    <xf numFmtId="0" fontId="0" fillId="0" borderId="1" xfId="0" applyFont="1" applyBorder="1"/>
    <xf numFmtId="178" fontId="0" fillId="3" borderId="0" xfId="0" quotePrefix="1" applyNumberFormat="1" applyFill="1" applyBorder="1"/>
    <xf numFmtId="178" fontId="0" fillId="3" borderId="5" xfId="0" applyNumberFormat="1" applyFill="1" applyBorder="1"/>
    <xf numFmtId="0" fontId="0" fillId="0" borderId="0" xfId="0" applyAlignment="1"/>
    <xf numFmtId="1" fontId="0" fillId="0" borderId="0" xfId="0" applyNumberFormat="1" applyAlignment="1"/>
    <xf numFmtId="0" fontId="4" fillId="0" borderId="0" xfId="0" applyFont="1" applyAlignment="1"/>
    <xf numFmtId="0" fontId="0" fillId="0" borderId="13" xfId="0" applyBorder="1"/>
    <xf numFmtId="178" fontId="0" fillId="0" borderId="0" xfId="0" applyNumberFormat="1" applyFill="1" applyBorder="1"/>
    <xf numFmtId="178" fontId="0" fillId="0" borderId="5" xfId="0" applyNumberFormat="1" applyFill="1" applyBorder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179" fontId="0" fillId="0" borderId="20" xfId="0" applyNumberFormat="1" applyBorder="1" applyAlignment="1">
      <alignment vertical="center"/>
    </xf>
    <xf numFmtId="179" fontId="0" fillId="0" borderId="22" xfId="0" applyNumberFormat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3" xfId="0" quotePrefix="1" applyFill="1" applyBorder="1" applyAlignment="1">
      <alignment vertical="center"/>
    </xf>
    <xf numFmtId="0" fontId="0" fillId="0" borderId="23" xfId="0" applyBorder="1" applyAlignment="1">
      <alignment vertical="center"/>
    </xf>
    <xf numFmtId="180" fontId="0" fillId="0" borderId="3" xfId="0" applyNumberFormat="1" applyBorder="1" applyAlignment="1">
      <alignment vertical="center"/>
    </xf>
    <xf numFmtId="180" fontId="0" fillId="0" borderId="2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4" xfId="0" applyBorder="1" applyAlignment="1">
      <alignment vertical="center"/>
    </xf>
    <xf numFmtId="178" fontId="0" fillId="5" borderId="0" xfId="0" applyNumberFormat="1" applyFill="1" applyBorder="1" applyAlignment="1">
      <alignment vertical="center"/>
    </xf>
    <xf numFmtId="178" fontId="0" fillId="5" borderId="1" xfId="0" applyNumberFormat="1" applyFill="1" applyBorder="1" applyAlignment="1">
      <alignment vertical="center"/>
    </xf>
    <xf numFmtId="178" fontId="0" fillId="0" borderId="0" xfId="0" applyNumberFormat="1" applyBorder="1" applyAlignment="1">
      <alignment vertical="center"/>
    </xf>
    <xf numFmtId="178" fontId="0" fillId="0" borderId="1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3" xfId="0" applyBorder="1" applyAlignment="1">
      <alignment vertical="center"/>
    </xf>
    <xf numFmtId="178" fontId="0" fillId="0" borderId="3" xfId="0" applyNumberFormat="1" applyBorder="1" applyAlignment="1">
      <alignment vertical="center"/>
    </xf>
    <xf numFmtId="178" fontId="0" fillId="0" borderId="2" xfId="0" applyNumberFormat="1" applyBorder="1" applyAlignment="1">
      <alignment vertical="center"/>
    </xf>
    <xf numFmtId="0" fontId="0" fillId="0" borderId="24" xfId="0" quotePrefix="1" applyBorder="1" applyAlignment="1">
      <alignment vertical="center"/>
    </xf>
    <xf numFmtId="178" fontId="0" fillId="6" borderId="0" xfId="0" applyNumberFormat="1" applyFill="1" applyBorder="1" applyAlignment="1">
      <alignment vertical="center"/>
    </xf>
    <xf numFmtId="178" fontId="0" fillId="6" borderId="1" xfId="0" applyNumberFormat="1" applyFill="1" applyBorder="1" applyAlignment="1">
      <alignment vertical="center"/>
    </xf>
    <xf numFmtId="178" fontId="0" fillId="6" borderId="3" xfId="0" applyNumberFormat="1" applyFill="1" applyBorder="1" applyAlignment="1">
      <alignment vertical="center"/>
    </xf>
    <xf numFmtId="178" fontId="0" fillId="6" borderId="2" xfId="0" applyNumberFormat="1" applyFill="1" applyBorder="1" applyAlignment="1">
      <alignment vertical="center"/>
    </xf>
    <xf numFmtId="0" fontId="0" fillId="0" borderId="6" xfId="0" quotePrefix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5" xfId="0" applyBorder="1" applyAlignment="1">
      <alignment vertical="center"/>
    </xf>
    <xf numFmtId="178" fontId="0" fillId="0" borderId="8" xfId="0" applyNumberFormat="1" applyBorder="1" applyAlignment="1">
      <alignment vertical="center"/>
    </xf>
    <xf numFmtId="178" fontId="0" fillId="0" borderId="7" xfId="0" applyNumberFormat="1" applyBorder="1" applyAlignment="1">
      <alignment vertical="center"/>
    </xf>
    <xf numFmtId="0" fontId="0" fillId="0" borderId="9" xfId="0" quotePrefix="1" applyBorder="1" applyAlignment="1">
      <alignment vertical="center"/>
    </xf>
    <xf numFmtId="179" fontId="0" fillId="0" borderId="3" xfId="0" applyNumberFormat="1" applyFill="1" applyBorder="1" applyAlignment="1">
      <alignment vertical="center"/>
    </xf>
    <xf numFmtId="179" fontId="0" fillId="0" borderId="2" xfId="0" applyNumberFormat="1" applyFill="1" applyBorder="1" applyAlignment="1">
      <alignment vertical="center"/>
    </xf>
    <xf numFmtId="1" fontId="0" fillId="0" borderId="0" xfId="0" applyNumberFormat="1" applyBorder="1" applyAlignment="1"/>
    <xf numFmtId="0" fontId="0" fillId="5" borderId="0" xfId="0" applyFill="1" applyBorder="1"/>
    <xf numFmtId="178" fontId="0" fillId="0" borderId="12" xfId="0" applyNumberFormat="1" applyFill="1" applyBorder="1"/>
    <xf numFmtId="178" fontId="0" fillId="0" borderId="11" xfId="0" applyNumberFormat="1" applyFill="1" applyBorder="1"/>
    <xf numFmtId="0" fontId="0" fillId="0" borderId="0" xfId="0" applyFill="1" applyBorder="1" applyAlignment="1">
      <alignment horizontal="right"/>
    </xf>
    <xf numFmtId="178" fontId="0" fillId="0" borderId="0" xfId="0" quotePrefix="1" applyNumberFormat="1"/>
    <xf numFmtId="178" fontId="0" fillId="0" borderId="8" xfId="0" applyNumberFormat="1" applyFill="1" applyBorder="1"/>
    <xf numFmtId="178" fontId="0" fillId="0" borderId="7" xfId="0" applyNumberFormat="1" applyFill="1" applyBorder="1"/>
    <xf numFmtId="178" fontId="0" fillId="0" borderId="3" xfId="0" applyNumberFormat="1" applyFill="1" applyBorder="1"/>
    <xf numFmtId="178" fontId="0" fillId="0" borderId="2" xfId="0" applyNumberFormat="1" applyFill="1" applyBorder="1"/>
    <xf numFmtId="178" fontId="0" fillId="7" borderId="3" xfId="0" applyNumberFormat="1" applyFill="1" applyBorder="1"/>
    <xf numFmtId="178" fontId="0" fillId="7" borderId="27" xfId="0" applyNumberFormat="1" applyFill="1" applyBorder="1"/>
    <xf numFmtId="176" fontId="1" fillId="8" borderId="0" xfId="0" applyNumberFormat="1" applyFont="1" applyFill="1" applyBorder="1"/>
    <xf numFmtId="178" fontId="1" fillId="9" borderId="0" xfId="0" applyNumberFormat="1" applyFont="1" applyFill="1" applyBorder="1"/>
    <xf numFmtId="178" fontId="1" fillId="9" borderId="3" xfId="0" applyNumberFormat="1" applyFont="1" applyFill="1" applyBorder="1"/>
    <xf numFmtId="0" fontId="0" fillId="6" borderId="0" xfId="0" applyFill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0" borderId="1" xfId="0" applyNumberFormat="1" applyBorder="1" applyAlignment="1"/>
    <xf numFmtId="0" fontId="0" fillId="5" borderId="1" xfId="0" applyFill="1" applyBorder="1"/>
    <xf numFmtId="0" fontId="0" fillId="0" borderId="10" xfId="0" applyBorder="1" applyAlignment="1">
      <alignment horizontal="center"/>
    </xf>
    <xf numFmtId="178" fontId="0" fillId="3" borderId="7" xfId="0" quotePrefix="1" applyNumberFormat="1" applyFill="1" applyBorder="1"/>
    <xf numFmtId="178" fontId="0" fillId="3" borderId="4" xfId="0" applyNumberFormat="1" applyFill="1" applyBorder="1"/>
    <xf numFmtId="178" fontId="0" fillId="0" borderId="14" xfId="0" applyNumberFormat="1" applyFill="1" applyBorder="1"/>
    <xf numFmtId="178" fontId="0" fillId="0" borderId="4" xfId="0" applyNumberFormat="1" applyFill="1" applyBorder="1"/>
    <xf numFmtId="178" fontId="1" fillId="9" borderId="14" xfId="0" applyNumberFormat="1" applyFont="1" applyFill="1" applyBorder="1"/>
    <xf numFmtId="178" fontId="1" fillId="9" borderId="2" xfId="0" applyNumberFormat="1" applyFont="1" applyFill="1" applyBorder="1"/>
    <xf numFmtId="176" fontId="1" fillId="8" borderId="7" xfId="0" applyNumberFormat="1" applyFont="1" applyFill="1" applyBorder="1"/>
    <xf numFmtId="176" fontId="1" fillId="8" borderId="3" xfId="0" applyNumberFormat="1" applyFont="1" applyFill="1" applyBorder="1"/>
    <xf numFmtId="176" fontId="1" fillId="8" borderId="2" xfId="0" applyNumberFormat="1" applyFont="1" applyFill="1" applyBorder="1"/>
    <xf numFmtId="0" fontId="0" fillId="7" borderId="0" xfId="0" applyFill="1"/>
    <xf numFmtId="1" fontId="0" fillId="7" borderId="0" xfId="0" applyNumberFormat="1" applyFill="1" applyAlignment="1"/>
    <xf numFmtId="0" fontId="0" fillId="0" borderId="0" xfId="0" applyFill="1"/>
    <xf numFmtId="0" fontId="0" fillId="4" borderId="0" xfId="0" applyFill="1" applyAlignment="1"/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zoomScaleNormal="100" workbookViewId="0">
      <selection activeCell="H2" sqref="H2"/>
    </sheetView>
  </sheetViews>
  <sheetFormatPr defaultRowHeight="13.5"/>
  <cols>
    <col min="1" max="1" width="4.625" customWidth="1"/>
    <col min="2" max="16" width="6.625" customWidth="1"/>
    <col min="17" max="17" width="1.625" customWidth="1"/>
  </cols>
  <sheetData>
    <row r="1" spans="1:20">
      <c r="A1" s="24" t="s">
        <v>41</v>
      </c>
      <c r="B1" s="24" t="s">
        <v>42</v>
      </c>
      <c r="H1" s="98">
        <v>35</v>
      </c>
      <c r="I1" t="s">
        <v>43</v>
      </c>
      <c r="R1" s="20" t="s">
        <v>79</v>
      </c>
      <c r="S1" s="18"/>
      <c r="T1" s="18"/>
    </row>
    <row r="2" spans="1:20">
      <c r="A2" s="1" t="s">
        <v>3</v>
      </c>
      <c r="B2" s="18" t="s">
        <v>64</v>
      </c>
      <c r="E2" t="s">
        <v>33</v>
      </c>
      <c r="H2" s="14">
        <v>0</v>
      </c>
      <c r="I2" t="s">
        <v>17</v>
      </c>
      <c r="J2">
        <f>SIN(RADIANS(90-H2))</f>
        <v>1</v>
      </c>
      <c r="K2" t="s">
        <v>4</v>
      </c>
      <c r="R2" s="18" t="s">
        <v>71</v>
      </c>
      <c r="S2" s="101">
        <v>5</v>
      </c>
      <c r="T2" s="18" t="s">
        <v>35</v>
      </c>
    </row>
    <row r="3" spans="1:20">
      <c r="A3" s="1" t="s">
        <v>5</v>
      </c>
      <c r="B3" t="s">
        <v>26</v>
      </c>
      <c r="E3" t="s">
        <v>32</v>
      </c>
      <c r="H3" s="2">
        <v>6</v>
      </c>
      <c r="I3" t="s">
        <v>6</v>
      </c>
      <c r="R3" s="18" t="s">
        <v>70</v>
      </c>
      <c r="S3" s="101">
        <v>210</v>
      </c>
      <c r="T3" s="18"/>
    </row>
    <row r="4" spans="1:20">
      <c r="A4" s="1" t="s">
        <v>7</v>
      </c>
      <c r="B4" s="4" t="s">
        <v>31</v>
      </c>
      <c r="E4" t="s">
        <v>34</v>
      </c>
      <c r="F4" s="14">
        <v>1</v>
      </c>
      <c r="G4" t="s">
        <v>80</v>
      </c>
      <c r="H4" s="100">
        <f>1/60*F4</f>
        <v>1.6666666666666666E-2</v>
      </c>
      <c r="I4" t="s">
        <v>18</v>
      </c>
      <c r="J4">
        <f>RADIANS(H4)</f>
        <v>2.9088820866572158E-4</v>
      </c>
      <c r="K4" t="s">
        <v>8</v>
      </c>
      <c r="R4" s="18" t="s">
        <v>85</v>
      </c>
      <c r="S4" s="19">
        <f>IF(OR(S2="",S3=""),"",24*60^2/S3)</f>
        <v>411.42857142857144</v>
      </c>
      <c r="T4" s="18" t="s">
        <v>84</v>
      </c>
    </row>
    <row r="5" spans="1:20">
      <c r="A5" s="1" t="s">
        <v>10</v>
      </c>
      <c r="B5" t="s">
        <v>11</v>
      </c>
      <c r="F5" s="100"/>
      <c r="G5" s="100"/>
      <c r="H5" s="14">
        <v>6</v>
      </c>
      <c r="I5" t="s">
        <v>12</v>
      </c>
      <c r="R5" s="18" t="s">
        <v>77</v>
      </c>
      <c r="S5" s="99"/>
      <c r="T5" s="18" t="s">
        <v>78</v>
      </c>
    </row>
    <row r="6" spans="1:20">
      <c r="B6" t="s">
        <v>14</v>
      </c>
      <c r="H6">
        <f>15/60*H5</f>
        <v>1.5</v>
      </c>
      <c r="I6" t="s">
        <v>18</v>
      </c>
      <c r="J6">
        <f>RADIANS(H6)</f>
        <v>2.6179938779914945E-2</v>
      </c>
      <c r="K6" t="s">
        <v>8</v>
      </c>
      <c r="R6" s="10" t="s">
        <v>65</v>
      </c>
      <c r="S6" s="66">
        <f>IF(OR(S2="",S3=""),0,IF(OR(H5*60&gt;S4,H5*60/S4&gt;0.25),S2,S2*SIN(2*PI()*H5*60/S4)))*IF(S5="-",-1,1)</f>
        <v>5</v>
      </c>
      <c r="T6" s="18" t="s">
        <v>35</v>
      </c>
    </row>
    <row r="7" spans="1:20">
      <c r="A7" s="10" t="s">
        <v>27</v>
      </c>
      <c r="B7" t="s">
        <v>68</v>
      </c>
      <c r="H7" s="79" t="s">
        <v>76</v>
      </c>
      <c r="R7" s="68" t="s">
        <v>66</v>
      </c>
      <c r="S7" s="67">
        <f>IF(OR(S2="",S3=""),0,IF(H5*60&lt;=S4/2,0,IF(OR(H5*60&gt;S4,H5*60/S4&gt;0.75),-S2,S2*SIN(2*PI()*H5*60/S4))))*IF(S5="-",-1,1)</f>
        <v>-5</v>
      </c>
      <c r="T7" s="18" t="s">
        <v>35</v>
      </c>
    </row>
    <row r="8" spans="1:20">
      <c r="A8" s="10" t="s">
        <v>27</v>
      </c>
      <c r="B8" t="s">
        <v>69</v>
      </c>
      <c r="D8" s="12"/>
      <c r="H8" s="79" t="s">
        <v>76</v>
      </c>
    </row>
    <row r="9" spans="1:20">
      <c r="B9" t="s">
        <v>15</v>
      </c>
      <c r="H9" s="13"/>
      <c r="I9" t="s">
        <v>16</v>
      </c>
      <c r="J9" s="8"/>
    </row>
    <row r="10" spans="1:20"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20">
      <c r="B11" s="80" t="s">
        <v>22</v>
      </c>
      <c r="C11" s="81"/>
      <c r="D11" s="82" t="s">
        <v>0</v>
      </c>
      <c r="E11" s="83"/>
      <c r="F11" s="83"/>
      <c r="G11" s="83"/>
      <c r="H11" s="83"/>
      <c r="I11" s="83"/>
      <c r="J11" s="82" t="s">
        <v>1</v>
      </c>
      <c r="K11" s="83"/>
      <c r="L11" s="83"/>
      <c r="M11" s="83"/>
      <c r="N11" s="83"/>
      <c r="O11" s="83"/>
      <c r="P11" s="84" t="s">
        <v>2</v>
      </c>
    </row>
    <row r="12" spans="1:20">
      <c r="B12" s="85" t="s">
        <v>75</v>
      </c>
      <c r="C12" s="3"/>
      <c r="D12" s="64" t="str">
        <f>Sheet2!E8</f>
        <v>na</v>
      </c>
      <c r="E12" s="64">
        <f>Sheet2!F8</f>
        <v>12.240295486395166</v>
      </c>
      <c r="F12" s="64">
        <f>Sheet2!G8</f>
        <v>24.178203959791169</v>
      </c>
      <c r="G12" s="64">
        <f>Sheet2!H8</f>
        <v>35.396260137327921</v>
      </c>
      <c r="H12" s="64">
        <f>Sheet2!I8</f>
        <v>45.18664540167444</v>
      </c>
      <c r="I12" s="64">
        <f>Sheet2!J8</f>
        <v>52.301553669123557</v>
      </c>
      <c r="J12" s="64">
        <f>Sheet2!K8</f>
        <v>55</v>
      </c>
      <c r="K12" s="64">
        <f>Sheet2!L8</f>
        <v>52.301553669123557</v>
      </c>
      <c r="L12" s="64">
        <f>Sheet2!M8</f>
        <v>45.186645401674468</v>
      </c>
      <c r="M12" s="64">
        <f>Sheet2!N8</f>
        <v>35.396260137327928</v>
      </c>
      <c r="N12" s="64">
        <f>Sheet2!O8</f>
        <v>24.178203959791169</v>
      </c>
      <c r="O12" s="64">
        <f>Sheet2!P8</f>
        <v>12.240295486395201</v>
      </c>
      <c r="P12" s="86" t="str">
        <f>Sheet2!Q8</f>
        <v>na</v>
      </c>
    </row>
    <row r="13" spans="1:20">
      <c r="B13" s="85" t="s">
        <v>23</v>
      </c>
      <c r="C13" s="3"/>
      <c r="D13" s="65">
        <v>18</v>
      </c>
      <c r="E13" s="65">
        <v>19</v>
      </c>
      <c r="F13" s="65">
        <v>20</v>
      </c>
      <c r="G13" s="65">
        <v>21</v>
      </c>
      <c r="H13" s="65">
        <v>22</v>
      </c>
      <c r="I13" s="65">
        <v>23</v>
      </c>
      <c r="J13" s="65">
        <v>0</v>
      </c>
      <c r="K13" s="65">
        <v>1</v>
      </c>
      <c r="L13" s="65">
        <v>2</v>
      </c>
      <c r="M13" s="65">
        <v>3</v>
      </c>
      <c r="N13" s="65">
        <v>4</v>
      </c>
      <c r="O13" s="65">
        <v>5</v>
      </c>
      <c r="P13" s="87">
        <v>6</v>
      </c>
    </row>
    <row r="14" spans="1:20">
      <c r="A14" s="5"/>
      <c r="B14" s="88" t="s">
        <v>24</v>
      </c>
      <c r="C14" s="6"/>
      <c r="D14" s="7">
        <f t="shared" ref="D14:P14" si="0">RADIANS(D13-$H$3)*15</f>
        <v>3.1415926535897936</v>
      </c>
      <c r="E14" s="7">
        <f t="shared" si="0"/>
        <v>3.4033920413889427</v>
      </c>
      <c r="F14" s="7">
        <f t="shared" si="0"/>
        <v>3.6651914291880923</v>
      </c>
      <c r="G14" s="7">
        <f t="shared" si="0"/>
        <v>3.926990816987241</v>
      </c>
      <c r="H14" s="7">
        <f t="shared" si="0"/>
        <v>4.1887902047863905</v>
      </c>
      <c r="I14" s="7">
        <f t="shared" si="0"/>
        <v>4.4505895925855405</v>
      </c>
      <c r="J14" s="7">
        <f t="shared" si="0"/>
        <v>-1.5707963267948968</v>
      </c>
      <c r="K14" s="7">
        <f t="shared" si="0"/>
        <v>-1.3089969389957472</v>
      </c>
      <c r="L14" s="7">
        <f t="shared" si="0"/>
        <v>-1.0471975511965976</v>
      </c>
      <c r="M14" s="7">
        <f t="shared" si="0"/>
        <v>-0.78539816339744839</v>
      </c>
      <c r="N14" s="7">
        <f t="shared" si="0"/>
        <v>-0.52359877559829882</v>
      </c>
      <c r="O14" s="7">
        <f t="shared" si="0"/>
        <v>-0.26179938779914941</v>
      </c>
      <c r="P14" s="6">
        <f t="shared" si="0"/>
        <v>0</v>
      </c>
    </row>
    <row r="15" spans="1:20">
      <c r="A15" s="5"/>
      <c r="B15" s="105" t="s">
        <v>21</v>
      </c>
      <c r="C15" s="3" t="s">
        <v>9</v>
      </c>
      <c r="D15" s="16" t="str">
        <f t="shared" ref="D15:P15" si="1">IF(D12="na","",ROUND(DEGREES($J$4*TAN($J$2)*(SIN(D14+$J$6)-SIN(D14)))*60^2,1))</f>
        <v/>
      </c>
      <c r="E15" s="16">
        <f t="shared" si="1"/>
        <v>-2.4</v>
      </c>
      <c r="F15" s="16">
        <f t="shared" si="1"/>
        <v>-2.1</v>
      </c>
      <c r="G15" s="16">
        <f t="shared" si="1"/>
        <v>-1.7</v>
      </c>
      <c r="H15" s="16">
        <f t="shared" si="1"/>
        <v>-1.2</v>
      </c>
      <c r="I15" s="16">
        <f t="shared" si="1"/>
        <v>-0.6</v>
      </c>
      <c r="J15" s="16">
        <f t="shared" si="1"/>
        <v>0</v>
      </c>
      <c r="K15" s="16">
        <f t="shared" si="1"/>
        <v>0.7</v>
      </c>
      <c r="L15" s="16">
        <f t="shared" si="1"/>
        <v>1.3</v>
      </c>
      <c r="M15" s="16">
        <f t="shared" si="1"/>
        <v>1.8</v>
      </c>
      <c r="N15" s="16">
        <f t="shared" si="1"/>
        <v>2.1</v>
      </c>
      <c r="O15" s="16">
        <f t="shared" si="1"/>
        <v>2.4</v>
      </c>
      <c r="P15" s="89" t="str">
        <f t="shared" si="1"/>
        <v/>
      </c>
    </row>
    <row r="16" spans="1:20">
      <c r="A16" s="5"/>
      <c r="B16" s="106"/>
      <c r="C16" s="11" t="s">
        <v>13</v>
      </c>
      <c r="D16" s="17" t="str">
        <f t="shared" ref="D16:P16" si="2">IF(D12="na","",ROUND(DEGREES($J$4*(COS(D14+$J$6)-COS(D14)))*60^2,1))</f>
        <v/>
      </c>
      <c r="E16" s="17">
        <f t="shared" si="2"/>
        <v>0.4</v>
      </c>
      <c r="F16" s="17">
        <f t="shared" si="2"/>
        <v>0.8</v>
      </c>
      <c r="G16" s="17">
        <f t="shared" si="2"/>
        <v>1.1000000000000001</v>
      </c>
      <c r="H16" s="17">
        <f t="shared" si="2"/>
        <v>1.4</v>
      </c>
      <c r="I16" s="17">
        <f t="shared" si="2"/>
        <v>1.5</v>
      </c>
      <c r="J16" s="17">
        <f t="shared" si="2"/>
        <v>1.6</v>
      </c>
      <c r="K16" s="17">
        <f t="shared" si="2"/>
        <v>1.5</v>
      </c>
      <c r="L16" s="17">
        <f t="shared" si="2"/>
        <v>1.3</v>
      </c>
      <c r="M16" s="17">
        <f t="shared" si="2"/>
        <v>1.1000000000000001</v>
      </c>
      <c r="N16" s="17">
        <f t="shared" si="2"/>
        <v>0.8</v>
      </c>
      <c r="O16" s="17">
        <f t="shared" si="2"/>
        <v>0.4</v>
      </c>
      <c r="P16" s="90" t="str">
        <f t="shared" si="2"/>
        <v/>
      </c>
    </row>
    <row r="17" spans="1:17">
      <c r="A17" s="5"/>
      <c r="B17" s="107" t="s">
        <v>36</v>
      </c>
      <c r="C17" s="3" t="s">
        <v>37</v>
      </c>
      <c r="D17" s="22" t="str">
        <f>IF($H$8="on",Sheet2!E13,0)</f>
        <v/>
      </c>
      <c r="E17" s="22">
        <f>IF($H$8="on",Sheet2!F13,0)</f>
        <v>22.421823510511345</v>
      </c>
      <c r="F17" s="22">
        <f>IF($H$8="on",Sheet2!G13,0)</f>
        <v>6.0261519971377453</v>
      </c>
      <c r="G17" s="22">
        <f>IF($H$8="on",Sheet2!H13,0)</f>
        <v>3.0147366517585539</v>
      </c>
      <c r="H17" s="22">
        <f>IF($H$8="on",Sheet2!I13,0)</f>
        <v>2.0101862182851704</v>
      </c>
      <c r="I17" s="22">
        <f>IF($H$8="on",Sheet2!J13,0)</f>
        <v>1.6159943580871783</v>
      </c>
      <c r="J17" s="22">
        <f>IF($H$8="on",Sheet2!K13,0)</f>
        <v>1.5077711376155634</v>
      </c>
      <c r="K17" s="22">
        <f>IF($H$8="on",Sheet2!L13,0)</f>
        <v>1.6159943580871783</v>
      </c>
      <c r="L17" s="22">
        <f>IF($H$8="on",Sheet2!M13,0)</f>
        <v>2.0101862182851704</v>
      </c>
      <c r="M17" s="22">
        <f>IF($H$8="on",Sheet2!N13,0)</f>
        <v>3.0147366517585539</v>
      </c>
      <c r="N17" s="22">
        <f>IF($H$8="on",Sheet2!O13,0)</f>
        <v>6.0261519971377453</v>
      </c>
      <c r="O17" s="22">
        <f>IF($H$8="on",Sheet2!P13,0)</f>
        <v>22.421823510511345</v>
      </c>
      <c r="P17" s="91" t="str">
        <f>IF($H$8="on",Sheet2!Q13,0)</f>
        <v/>
      </c>
    </row>
    <row r="18" spans="1:17">
      <c r="A18" s="5"/>
      <c r="B18" s="111"/>
      <c r="C18" s="21" t="s">
        <v>38</v>
      </c>
      <c r="D18" s="23" t="str">
        <f>IF($H$8="on",Sheet2!E14,0)</f>
        <v/>
      </c>
      <c r="E18" s="23">
        <f>IF($H$8="on",Sheet2!F14,0)</f>
        <v>-15.452628096444121</v>
      </c>
      <c r="F18" s="23">
        <f>IF($H$8="on",Sheet2!G14,0)</f>
        <v>-3.7122879741371166</v>
      </c>
      <c r="G18" s="23">
        <f>IF($H$8="on",Sheet2!H14,0)</f>
        <v>-1.5155352191510372</v>
      </c>
      <c r="H18" s="23">
        <f>IF($H$8="on",Sheet2!I14,0)</f>
        <v>-0.7144301537258263</v>
      </c>
      <c r="I18" s="23">
        <f>IF($H$8="on",Sheet2!J14,0)</f>
        <v>-0.29727590493370193</v>
      </c>
      <c r="J18" s="23">
        <f>IF($H$8="on",Sheet2!K14,0)</f>
        <v>0</v>
      </c>
      <c r="K18" s="23">
        <f>IF($H$8="on",Sheet2!L14,0)</f>
        <v>0.29727590493370198</v>
      </c>
      <c r="L18" s="23">
        <f>IF($H$8="on",Sheet2!M14,0)</f>
        <v>0.71443015372582519</v>
      </c>
      <c r="M18" s="23">
        <f>IF($H$8="on",Sheet2!N14,0)</f>
        <v>1.5155352191510358</v>
      </c>
      <c r="N18" s="23">
        <f>IF($H$8="on",Sheet2!O14,0)</f>
        <v>3.7122879741371166</v>
      </c>
      <c r="O18" s="23">
        <f>IF($H$8="on",Sheet2!P14,0)</f>
        <v>15.452628096444066</v>
      </c>
      <c r="P18" s="92" t="str">
        <f>IF($H$8="on",Sheet2!Q14,0)</f>
        <v/>
      </c>
    </row>
    <row r="19" spans="1:17">
      <c r="A19" s="5"/>
      <c r="B19" s="107" t="s">
        <v>28</v>
      </c>
      <c r="C19" s="3" t="s">
        <v>19</v>
      </c>
      <c r="D19" s="77" t="str">
        <f>IF(D12="na","",IF($H$7="on",D26,IF($H$8="on",D15+D17,"")))</f>
        <v/>
      </c>
      <c r="E19" s="77">
        <f t="shared" ref="E19:P19" si="3">IF(E12="na","",IF($H$7="on",E26,IF($H$8="on",E15+E17,"")))</f>
        <v>25.021823510511346</v>
      </c>
      <c r="F19" s="77">
        <f t="shared" si="3"/>
        <v>10</v>
      </c>
      <c r="G19" s="77">
        <f t="shared" si="3"/>
        <v>10</v>
      </c>
      <c r="H19" s="77">
        <f t="shared" si="3"/>
        <v>10</v>
      </c>
      <c r="I19" s="77">
        <f t="shared" si="3"/>
        <v>10</v>
      </c>
      <c r="J19" s="77">
        <f t="shared" si="3"/>
        <v>10</v>
      </c>
      <c r="K19" s="77">
        <f t="shared" si="3"/>
        <v>10</v>
      </c>
      <c r="L19" s="77">
        <f t="shared" si="3"/>
        <v>10</v>
      </c>
      <c r="M19" s="77">
        <f t="shared" si="3"/>
        <v>10</v>
      </c>
      <c r="N19" s="77">
        <f t="shared" si="3"/>
        <v>13.126151997137745</v>
      </c>
      <c r="O19" s="77">
        <f t="shared" si="3"/>
        <v>29.821823510511344</v>
      </c>
      <c r="P19" s="93" t="str">
        <f t="shared" si="3"/>
        <v/>
      </c>
      <c r="Q19" s="9"/>
    </row>
    <row r="20" spans="1:17">
      <c r="A20" s="5"/>
      <c r="B20" s="108"/>
      <c r="C20" s="6" t="s">
        <v>20</v>
      </c>
      <c r="D20" s="78" t="str">
        <f>IF(D19="","",D16+D18)</f>
        <v/>
      </c>
      <c r="E20" s="78">
        <f t="shared" ref="E20:P20" si="4">IF(E19="","",E16+E18)</f>
        <v>-15.052628096444121</v>
      </c>
      <c r="F20" s="78">
        <f t="shared" si="4"/>
        <v>-2.9122879741371168</v>
      </c>
      <c r="G20" s="78">
        <f t="shared" si="4"/>
        <v>-0.41553521915103708</v>
      </c>
      <c r="H20" s="78">
        <f t="shared" si="4"/>
        <v>0.68556984627417361</v>
      </c>
      <c r="I20" s="78">
        <f t="shared" si="4"/>
        <v>1.2027240950662981</v>
      </c>
      <c r="J20" s="78">
        <f t="shared" si="4"/>
        <v>1.6</v>
      </c>
      <c r="K20" s="78">
        <f t="shared" si="4"/>
        <v>1.7972759049337019</v>
      </c>
      <c r="L20" s="78">
        <f t="shared" si="4"/>
        <v>2.0144301537258253</v>
      </c>
      <c r="M20" s="78">
        <f t="shared" si="4"/>
        <v>2.6155352191510359</v>
      </c>
      <c r="N20" s="78">
        <f t="shared" si="4"/>
        <v>4.5122879741371165</v>
      </c>
      <c r="O20" s="78">
        <f t="shared" si="4"/>
        <v>15.852628096444066</v>
      </c>
      <c r="P20" s="94" t="str">
        <f t="shared" si="4"/>
        <v/>
      </c>
      <c r="Q20" s="9"/>
    </row>
    <row r="21" spans="1:17">
      <c r="A21" s="5"/>
      <c r="B21" s="109" t="s">
        <v>25</v>
      </c>
      <c r="C21" s="15" t="s">
        <v>29</v>
      </c>
      <c r="D21" s="76" t="str">
        <f t="shared" ref="D21:P21" si="5">IF(D12="na","",DEGREES(ACOS(SIN(RADIANS($H$2))*SIN(RADIANS($H$2)+RADIANS(IF(D20="",D16,D20)/60^2))+COS(RADIANS($H$2))*COS(RADIANS($H$2)+RADIANS(IF(D20="",D16,D20)/60^2))*COS(RADIANS(IF(D19="",D15,D19)/60^2))))*60^2)</f>
        <v/>
      </c>
      <c r="E21" s="76">
        <f t="shared" si="5"/>
        <v>29.200569596810677</v>
      </c>
      <c r="F21" s="76">
        <f t="shared" si="5"/>
        <v>10.415441280162927</v>
      </c>
      <c r="G21" s="76">
        <f t="shared" si="5"/>
        <v>10.008629604595646</v>
      </c>
      <c r="H21" s="76">
        <f t="shared" si="5"/>
        <v>10.023472407129091</v>
      </c>
      <c r="I21" s="76">
        <f t="shared" si="5"/>
        <v>10.072067177878694</v>
      </c>
      <c r="J21" s="76">
        <f t="shared" si="5"/>
        <v>10.127191077173736</v>
      </c>
      <c r="K21" s="76">
        <f t="shared" si="5"/>
        <v>10.160225999046553</v>
      </c>
      <c r="L21" s="76">
        <f t="shared" si="5"/>
        <v>10.200878517080675</v>
      </c>
      <c r="M21" s="76">
        <f t="shared" si="5"/>
        <v>10.336393208942017</v>
      </c>
      <c r="N21" s="76">
        <f t="shared" si="5"/>
        <v>13.880079368623015</v>
      </c>
      <c r="O21" s="76">
        <f t="shared" si="5"/>
        <v>33.773465568806557</v>
      </c>
      <c r="P21" s="95" t="str">
        <f t="shared" si="5"/>
        <v/>
      </c>
      <c r="Q21" s="9"/>
    </row>
    <row r="22" spans="1:17">
      <c r="B22" s="110"/>
      <c r="C22" s="6" t="s">
        <v>30</v>
      </c>
      <c r="D22" s="96" t="str">
        <f t="shared" ref="D22:P22" si="6">IF(D12="na","",IF($H$9="","",2*PI()*$H$9*((D21/60^2)/360)*10^3))</f>
        <v/>
      </c>
      <c r="E22" s="96" t="str">
        <f t="shared" si="6"/>
        <v/>
      </c>
      <c r="F22" s="96" t="str">
        <f t="shared" si="6"/>
        <v/>
      </c>
      <c r="G22" s="96" t="str">
        <f t="shared" si="6"/>
        <v/>
      </c>
      <c r="H22" s="96" t="str">
        <f t="shared" si="6"/>
        <v/>
      </c>
      <c r="I22" s="96" t="str">
        <f t="shared" si="6"/>
        <v/>
      </c>
      <c r="J22" s="96" t="str">
        <f t="shared" si="6"/>
        <v/>
      </c>
      <c r="K22" s="96" t="str">
        <f t="shared" si="6"/>
        <v/>
      </c>
      <c r="L22" s="96" t="str">
        <f t="shared" si="6"/>
        <v/>
      </c>
      <c r="M22" s="96" t="str">
        <f t="shared" si="6"/>
        <v/>
      </c>
      <c r="N22" s="96" t="str">
        <f t="shared" si="6"/>
        <v/>
      </c>
      <c r="O22" s="96" t="str">
        <f t="shared" si="6"/>
        <v/>
      </c>
      <c r="P22" s="97" t="str">
        <f t="shared" si="6"/>
        <v/>
      </c>
    </row>
    <row r="23" spans="1:17">
      <c r="D23" s="9"/>
    </row>
    <row r="24" spans="1:17">
      <c r="B24" s="112" t="s">
        <v>81</v>
      </c>
      <c r="C24" s="102" t="s">
        <v>82</v>
      </c>
      <c r="D24" s="70" t="str">
        <f>IF(OR(D12="na",$H$7="off",$H$7=""),"",IF(OR($S$2="",$S$3=""),"Err",D15+D17+$S$6))</f>
        <v/>
      </c>
      <c r="E24" s="70">
        <f t="shared" ref="E24:P24" si="7">IF(OR(E12="na",$H$7="off",$H$7=""),"",IF(OR($S$2="",$S$3=""),"Err",E15+E17+$S$6))</f>
        <v>25.021823510511346</v>
      </c>
      <c r="F24" s="70">
        <f t="shared" si="7"/>
        <v>8.9261519971377457</v>
      </c>
      <c r="G24" s="70">
        <f t="shared" si="7"/>
        <v>6.3147366517585537</v>
      </c>
      <c r="H24" s="70">
        <f t="shared" si="7"/>
        <v>5.8101862182851702</v>
      </c>
      <c r="I24" s="70">
        <f t="shared" si="7"/>
        <v>6.0159943580871786</v>
      </c>
      <c r="J24" s="70">
        <f t="shared" si="7"/>
        <v>6.5077711376155634</v>
      </c>
      <c r="K24" s="70">
        <f t="shared" si="7"/>
        <v>7.3159943580871785</v>
      </c>
      <c r="L24" s="70">
        <f t="shared" si="7"/>
        <v>8.3101862182851711</v>
      </c>
      <c r="M24" s="70">
        <f t="shared" si="7"/>
        <v>9.8147366517585546</v>
      </c>
      <c r="N24" s="70">
        <f t="shared" si="7"/>
        <v>13.126151997137745</v>
      </c>
      <c r="O24" s="70">
        <f t="shared" si="7"/>
        <v>29.821823510511344</v>
      </c>
      <c r="P24" s="71" t="str">
        <f t="shared" si="7"/>
        <v/>
      </c>
    </row>
    <row r="25" spans="1:17">
      <c r="B25" s="113"/>
      <c r="C25" s="103" t="s">
        <v>83</v>
      </c>
      <c r="D25" s="72" t="str">
        <f t="shared" ref="D25:P25" si="8">IF(D12="na","",IF($H$7="on",IF(OR($S$2="",$S$3=""),"Err",IF($S$7=0,0,D15+D17+$S$7)),""))</f>
        <v/>
      </c>
      <c r="E25" s="72">
        <f t="shared" si="8"/>
        <v>15.021823510511346</v>
      </c>
      <c r="F25" s="72">
        <f t="shared" si="8"/>
        <v>-1.0738480028622548</v>
      </c>
      <c r="G25" s="72">
        <f t="shared" si="8"/>
        <v>-3.6852633482414463</v>
      </c>
      <c r="H25" s="72">
        <f t="shared" si="8"/>
        <v>-4.1898137817148298</v>
      </c>
      <c r="I25" s="72">
        <f t="shared" si="8"/>
        <v>-3.9840056419128218</v>
      </c>
      <c r="J25" s="72">
        <f t="shared" si="8"/>
        <v>-3.4922288623844366</v>
      </c>
      <c r="K25" s="72">
        <f t="shared" si="8"/>
        <v>-2.6840056419128215</v>
      </c>
      <c r="L25" s="72">
        <f t="shared" si="8"/>
        <v>-1.6898137817148298</v>
      </c>
      <c r="M25" s="72">
        <f t="shared" si="8"/>
        <v>-0.1852633482414463</v>
      </c>
      <c r="N25" s="72">
        <f t="shared" si="8"/>
        <v>3.1261519971377449</v>
      </c>
      <c r="O25" s="72">
        <f t="shared" si="8"/>
        <v>19.821823510511344</v>
      </c>
      <c r="P25" s="73" t="str">
        <f t="shared" si="8"/>
        <v/>
      </c>
    </row>
    <row r="26" spans="1:17">
      <c r="B26" s="114"/>
      <c r="C26" s="104" t="s">
        <v>67</v>
      </c>
      <c r="D26" s="74" t="str">
        <f t="shared" ref="D26:I26" si="9">IF(D12="na","",IF($H$7="on",IF(OR($S$2="",$S$3=""),"Err",IF(AND(D24&gt;0,D25&gt;0),MAX(D24:D25),IF(AND(D24&lt;0,D25&lt;0),MIN(D24:D25),IF(ABS(D24)&gt;ABS(D25),D24-D25,D25-D24)))),""))</f>
        <v/>
      </c>
      <c r="E26" s="74">
        <f t="shared" si="9"/>
        <v>25.021823510511346</v>
      </c>
      <c r="F26" s="74">
        <f t="shared" si="9"/>
        <v>10</v>
      </c>
      <c r="G26" s="74">
        <f t="shared" si="9"/>
        <v>10</v>
      </c>
      <c r="H26" s="74">
        <f t="shared" si="9"/>
        <v>10</v>
      </c>
      <c r="I26" s="74">
        <f t="shared" si="9"/>
        <v>10</v>
      </c>
      <c r="J26" s="74">
        <f>IF(J12="na","",IF($H$7="on",IF(OR($S$2="",$S$3=""),"Err",IF(AND(J24&gt;0,J25&gt;0),MAX(J24:J25),IF(AND(J24&lt;0,J25&lt;0),MIN(J24:J25),IF(ABS(J24)&gt;ABS(J25),J24-J25,J25-J24)))),""))</f>
        <v>10</v>
      </c>
      <c r="K26" s="74">
        <f t="shared" ref="K26:P26" si="10">IF(K12="na","",IF($H$7="on",IF(OR($S$2="",$S$3=""),"Err",IF(AND(K24&gt;0,K25&gt;0),MAX(K24:K25),IF(AND(K24&lt;0,K25&lt;0),MIN(K24:K25),IF(ABS(K24)&gt;ABS(K25),K24-K25,K25-K24)))),""))</f>
        <v>10</v>
      </c>
      <c r="L26" s="74">
        <f t="shared" si="10"/>
        <v>10</v>
      </c>
      <c r="M26" s="74">
        <f t="shared" si="10"/>
        <v>10</v>
      </c>
      <c r="N26" s="74">
        <f t="shared" si="10"/>
        <v>13.126151997137745</v>
      </c>
      <c r="O26" s="74">
        <f t="shared" si="10"/>
        <v>29.821823510511344</v>
      </c>
      <c r="P26" s="75" t="str">
        <f t="shared" si="10"/>
        <v/>
      </c>
    </row>
    <row r="27" spans="1:17">
      <c r="D27" s="69"/>
    </row>
  </sheetData>
  <mergeCells count="5">
    <mergeCell ref="B15:B16"/>
    <mergeCell ref="B19:B20"/>
    <mergeCell ref="B21:B22"/>
    <mergeCell ref="B17:B18"/>
    <mergeCell ref="B24:B26"/>
  </mergeCells>
  <phoneticPr fontId="2"/>
  <conditionalFormatting sqref="D17:P18">
    <cfRule type="expression" dxfId="0" priority="6">
      <formula>$D$17:$P$18=0</formula>
    </cfRule>
  </conditionalFormatting>
  <dataValidations disablePrompts="1" count="1">
    <dataValidation type="list" allowBlank="1" showInputMessage="1" showErrorMessage="1" sqref="H7:H8">
      <formula1>"on,off"</formula1>
    </dataValidation>
  </dataValidations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9"/>
  <sheetViews>
    <sheetView workbookViewId="0">
      <selection activeCell="F1" sqref="F1"/>
    </sheetView>
  </sheetViews>
  <sheetFormatPr defaultRowHeight="13.5"/>
  <cols>
    <col min="1" max="1" width="1.625" style="24" customWidth="1"/>
    <col min="2" max="17" width="8.625" style="24" customWidth="1"/>
    <col min="18" max="256" width="9" style="24"/>
    <col min="257" max="257" width="1.625" style="24" customWidth="1"/>
    <col min="258" max="273" width="8.625" style="24" customWidth="1"/>
    <col min="274" max="512" width="9" style="24"/>
    <col min="513" max="513" width="1.625" style="24" customWidth="1"/>
    <col min="514" max="529" width="8.625" style="24" customWidth="1"/>
    <col min="530" max="768" width="9" style="24"/>
    <col min="769" max="769" width="1.625" style="24" customWidth="1"/>
    <col min="770" max="785" width="8.625" style="24" customWidth="1"/>
    <col min="786" max="1024" width="9" style="24"/>
    <col min="1025" max="1025" width="1.625" style="24" customWidth="1"/>
    <col min="1026" max="1041" width="8.625" style="24" customWidth="1"/>
    <col min="1042" max="1280" width="9" style="24"/>
    <col min="1281" max="1281" width="1.625" style="24" customWidth="1"/>
    <col min="1282" max="1297" width="8.625" style="24" customWidth="1"/>
    <col min="1298" max="1536" width="9" style="24"/>
    <col min="1537" max="1537" width="1.625" style="24" customWidth="1"/>
    <col min="1538" max="1553" width="8.625" style="24" customWidth="1"/>
    <col min="1554" max="1792" width="9" style="24"/>
    <col min="1793" max="1793" width="1.625" style="24" customWidth="1"/>
    <col min="1794" max="1809" width="8.625" style="24" customWidth="1"/>
    <col min="1810" max="2048" width="9" style="24"/>
    <col min="2049" max="2049" width="1.625" style="24" customWidth="1"/>
    <col min="2050" max="2065" width="8.625" style="24" customWidth="1"/>
    <col min="2066" max="2304" width="9" style="24"/>
    <col min="2305" max="2305" width="1.625" style="24" customWidth="1"/>
    <col min="2306" max="2321" width="8.625" style="24" customWidth="1"/>
    <col min="2322" max="2560" width="9" style="24"/>
    <col min="2561" max="2561" width="1.625" style="24" customWidth="1"/>
    <col min="2562" max="2577" width="8.625" style="24" customWidth="1"/>
    <col min="2578" max="2816" width="9" style="24"/>
    <col min="2817" max="2817" width="1.625" style="24" customWidth="1"/>
    <col min="2818" max="2833" width="8.625" style="24" customWidth="1"/>
    <col min="2834" max="3072" width="9" style="24"/>
    <col min="3073" max="3073" width="1.625" style="24" customWidth="1"/>
    <col min="3074" max="3089" width="8.625" style="24" customWidth="1"/>
    <col min="3090" max="3328" width="9" style="24"/>
    <col min="3329" max="3329" width="1.625" style="24" customWidth="1"/>
    <col min="3330" max="3345" width="8.625" style="24" customWidth="1"/>
    <col min="3346" max="3584" width="9" style="24"/>
    <col min="3585" max="3585" width="1.625" style="24" customWidth="1"/>
    <col min="3586" max="3601" width="8.625" style="24" customWidth="1"/>
    <col min="3602" max="3840" width="9" style="24"/>
    <col min="3841" max="3841" width="1.625" style="24" customWidth="1"/>
    <col min="3842" max="3857" width="8.625" style="24" customWidth="1"/>
    <col min="3858" max="4096" width="9" style="24"/>
    <col min="4097" max="4097" width="1.625" style="24" customWidth="1"/>
    <col min="4098" max="4113" width="8.625" style="24" customWidth="1"/>
    <col min="4114" max="4352" width="9" style="24"/>
    <col min="4353" max="4353" width="1.625" style="24" customWidth="1"/>
    <col min="4354" max="4369" width="8.625" style="24" customWidth="1"/>
    <col min="4370" max="4608" width="9" style="24"/>
    <col min="4609" max="4609" width="1.625" style="24" customWidth="1"/>
    <col min="4610" max="4625" width="8.625" style="24" customWidth="1"/>
    <col min="4626" max="4864" width="9" style="24"/>
    <col min="4865" max="4865" width="1.625" style="24" customWidth="1"/>
    <col min="4866" max="4881" width="8.625" style="24" customWidth="1"/>
    <col min="4882" max="5120" width="9" style="24"/>
    <col min="5121" max="5121" width="1.625" style="24" customWidth="1"/>
    <col min="5122" max="5137" width="8.625" style="24" customWidth="1"/>
    <col min="5138" max="5376" width="9" style="24"/>
    <col min="5377" max="5377" width="1.625" style="24" customWidth="1"/>
    <col min="5378" max="5393" width="8.625" style="24" customWidth="1"/>
    <col min="5394" max="5632" width="9" style="24"/>
    <col min="5633" max="5633" width="1.625" style="24" customWidth="1"/>
    <col min="5634" max="5649" width="8.625" style="24" customWidth="1"/>
    <col min="5650" max="5888" width="9" style="24"/>
    <col min="5889" max="5889" width="1.625" style="24" customWidth="1"/>
    <col min="5890" max="5905" width="8.625" style="24" customWidth="1"/>
    <col min="5906" max="6144" width="9" style="24"/>
    <col min="6145" max="6145" width="1.625" style="24" customWidth="1"/>
    <col min="6146" max="6161" width="8.625" style="24" customWidth="1"/>
    <col min="6162" max="6400" width="9" style="24"/>
    <col min="6401" max="6401" width="1.625" style="24" customWidth="1"/>
    <col min="6402" max="6417" width="8.625" style="24" customWidth="1"/>
    <col min="6418" max="6656" width="9" style="24"/>
    <col min="6657" max="6657" width="1.625" style="24" customWidth="1"/>
    <col min="6658" max="6673" width="8.625" style="24" customWidth="1"/>
    <col min="6674" max="6912" width="9" style="24"/>
    <col min="6913" max="6913" width="1.625" style="24" customWidth="1"/>
    <col min="6914" max="6929" width="8.625" style="24" customWidth="1"/>
    <col min="6930" max="7168" width="9" style="24"/>
    <col min="7169" max="7169" width="1.625" style="24" customWidth="1"/>
    <col min="7170" max="7185" width="8.625" style="24" customWidth="1"/>
    <col min="7186" max="7424" width="9" style="24"/>
    <col min="7425" max="7425" width="1.625" style="24" customWidth="1"/>
    <col min="7426" max="7441" width="8.625" style="24" customWidth="1"/>
    <col min="7442" max="7680" width="9" style="24"/>
    <col min="7681" max="7681" width="1.625" style="24" customWidth="1"/>
    <col min="7682" max="7697" width="8.625" style="24" customWidth="1"/>
    <col min="7698" max="7936" width="9" style="24"/>
    <col min="7937" max="7937" width="1.625" style="24" customWidth="1"/>
    <col min="7938" max="7953" width="8.625" style="24" customWidth="1"/>
    <col min="7954" max="8192" width="9" style="24"/>
    <col min="8193" max="8193" width="1.625" style="24" customWidth="1"/>
    <col min="8194" max="8209" width="8.625" style="24" customWidth="1"/>
    <col min="8210" max="8448" width="9" style="24"/>
    <col min="8449" max="8449" width="1.625" style="24" customWidth="1"/>
    <col min="8450" max="8465" width="8.625" style="24" customWidth="1"/>
    <col min="8466" max="8704" width="9" style="24"/>
    <col min="8705" max="8705" width="1.625" style="24" customWidth="1"/>
    <col min="8706" max="8721" width="8.625" style="24" customWidth="1"/>
    <col min="8722" max="8960" width="9" style="24"/>
    <col min="8961" max="8961" width="1.625" style="24" customWidth="1"/>
    <col min="8962" max="8977" width="8.625" style="24" customWidth="1"/>
    <col min="8978" max="9216" width="9" style="24"/>
    <col min="9217" max="9217" width="1.625" style="24" customWidth="1"/>
    <col min="9218" max="9233" width="8.625" style="24" customWidth="1"/>
    <col min="9234" max="9472" width="9" style="24"/>
    <col min="9473" max="9473" width="1.625" style="24" customWidth="1"/>
    <col min="9474" max="9489" width="8.625" style="24" customWidth="1"/>
    <col min="9490" max="9728" width="9" style="24"/>
    <col min="9729" max="9729" width="1.625" style="24" customWidth="1"/>
    <col min="9730" max="9745" width="8.625" style="24" customWidth="1"/>
    <col min="9746" max="9984" width="9" style="24"/>
    <col min="9985" max="9985" width="1.625" style="24" customWidth="1"/>
    <col min="9986" max="10001" width="8.625" style="24" customWidth="1"/>
    <col min="10002" max="10240" width="9" style="24"/>
    <col min="10241" max="10241" width="1.625" style="24" customWidth="1"/>
    <col min="10242" max="10257" width="8.625" style="24" customWidth="1"/>
    <col min="10258" max="10496" width="9" style="24"/>
    <col min="10497" max="10497" width="1.625" style="24" customWidth="1"/>
    <col min="10498" max="10513" width="8.625" style="24" customWidth="1"/>
    <col min="10514" max="10752" width="9" style="24"/>
    <col min="10753" max="10753" width="1.625" style="24" customWidth="1"/>
    <col min="10754" max="10769" width="8.625" style="24" customWidth="1"/>
    <col min="10770" max="11008" width="9" style="24"/>
    <col min="11009" max="11009" width="1.625" style="24" customWidth="1"/>
    <col min="11010" max="11025" width="8.625" style="24" customWidth="1"/>
    <col min="11026" max="11264" width="9" style="24"/>
    <col min="11265" max="11265" width="1.625" style="24" customWidth="1"/>
    <col min="11266" max="11281" width="8.625" style="24" customWidth="1"/>
    <col min="11282" max="11520" width="9" style="24"/>
    <col min="11521" max="11521" width="1.625" style="24" customWidth="1"/>
    <col min="11522" max="11537" width="8.625" style="24" customWidth="1"/>
    <col min="11538" max="11776" width="9" style="24"/>
    <col min="11777" max="11777" width="1.625" style="24" customWidth="1"/>
    <col min="11778" max="11793" width="8.625" style="24" customWidth="1"/>
    <col min="11794" max="12032" width="9" style="24"/>
    <col min="12033" max="12033" width="1.625" style="24" customWidth="1"/>
    <col min="12034" max="12049" width="8.625" style="24" customWidth="1"/>
    <col min="12050" max="12288" width="9" style="24"/>
    <col min="12289" max="12289" width="1.625" style="24" customWidth="1"/>
    <col min="12290" max="12305" width="8.625" style="24" customWidth="1"/>
    <col min="12306" max="12544" width="9" style="24"/>
    <col min="12545" max="12545" width="1.625" style="24" customWidth="1"/>
    <col min="12546" max="12561" width="8.625" style="24" customWidth="1"/>
    <col min="12562" max="12800" width="9" style="24"/>
    <col min="12801" max="12801" width="1.625" style="24" customWidth="1"/>
    <col min="12802" max="12817" width="8.625" style="24" customWidth="1"/>
    <col min="12818" max="13056" width="9" style="24"/>
    <col min="13057" max="13057" width="1.625" style="24" customWidth="1"/>
    <col min="13058" max="13073" width="8.625" style="24" customWidth="1"/>
    <col min="13074" max="13312" width="9" style="24"/>
    <col min="13313" max="13313" width="1.625" style="24" customWidth="1"/>
    <col min="13314" max="13329" width="8.625" style="24" customWidth="1"/>
    <col min="13330" max="13568" width="9" style="24"/>
    <col min="13569" max="13569" width="1.625" style="24" customWidth="1"/>
    <col min="13570" max="13585" width="8.625" style="24" customWidth="1"/>
    <col min="13586" max="13824" width="9" style="24"/>
    <col min="13825" max="13825" width="1.625" style="24" customWidth="1"/>
    <col min="13826" max="13841" width="8.625" style="24" customWidth="1"/>
    <col min="13842" max="14080" width="9" style="24"/>
    <col min="14081" max="14081" width="1.625" style="24" customWidth="1"/>
    <col min="14082" max="14097" width="8.625" style="24" customWidth="1"/>
    <col min="14098" max="14336" width="9" style="24"/>
    <col min="14337" max="14337" width="1.625" style="24" customWidth="1"/>
    <col min="14338" max="14353" width="8.625" style="24" customWidth="1"/>
    <col min="14354" max="14592" width="9" style="24"/>
    <col min="14593" max="14593" width="1.625" style="24" customWidth="1"/>
    <col min="14594" max="14609" width="8.625" style="24" customWidth="1"/>
    <col min="14610" max="14848" width="9" style="24"/>
    <col min="14849" max="14849" width="1.625" style="24" customWidth="1"/>
    <col min="14850" max="14865" width="8.625" style="24" customWidth="1"/>
    <col min="14866" max="15104" width="9" style="24"/>
    <col min="15105" max="15105" width="1.625" style="24" customWidth="1"/>
    <col min="15106" max="15121" width="8.625" style="24" customWidth="1"/>
    <col min="15122" max="15360" width="9" style="24"/>
    <col min="15361" max="15361" width="1.625" style="24" customWidth="1"/>
    <col min="15362" max="15377" width="8.625" style="24" customWidth="1"/>
    <col min="15378" max="15616" width="9" style="24"/>
    <col min="15617" max="15617" width="1.625" style="24" customWidth="1"/>
    <col min="15618" max="15633" width="8.625" style="24" customWidth="1"/>
    <col min="15634" max="15872" width="9" style="24"/>
    <col min="15873" max="15873" width="1.625" style="24" customWidth="1"/>
    <col min="15874" max="15889" width="8.625" style="24" customWidth="1"/>
    <col min="15890" max="16128" width="9" style="24"/>
    <col min="16129" max="16129" width="1.625" style="24" customWidth="1"/>
    <col min="16130" max="16145" width="8.625" style="24" customWidth="1"/>
    <col min="16146" max="16384" width="9" style="24"/>
  </cols>
  <sheetData>
    <row r="1" spans="2:17">
      <c r="B1" s="24" t="s">
        <v>39</v>
      </c>
      <c r="C1" s="18" t="s">
        <v>40</v>
      </c>
      <c r="E1" s="24" t="s">
        <v>33</v>
      </c>
      <c r="F1" s="25">
        <f>Sheet1!H2</f>
        <v>0</v>
      </c>
      <c r="G1" s="24" t="str">
        <f>"°("&amp;TEXT(90-(90-F2),"#")&amp;"°入力で天頂)"</f>
        <v>°(35°入力で天頂)</v>
      </c>
    </row>
    <row r="2" spans="2:17">
      <c r="B2" s="24" t="s">
        <v>41</v>
      </c>
      <c r="C2" s="24" t="s">
        <v>42</v>
      </c>
      <c r="F2" s="25">
        <f>Sheet1!H1</f>
        <v>35</v>
      </c>
      <c r="G2" s="24" t="s">
        <v>43</v>
      </c>
    </row>
    <row r="3" spans="2:17">
      <c r="B3" s="24" t="s">
        <v>10</v>
      </c>
      <c r="C3" s="24" t="s">
        <v>44</v>
      </c>
      <c r="F3" s="25">
        <f>Sheet1!H5*60</f>
        <v>360</v>
      </c>
      <c r="G3" s="24" t="s">
        <v>45</v>
      </c>
    </row>
    <row r="4" spans="2:17">
      <c r="C4" s="24" t="s">
        <v>46</v>
      </c>
      <c r="F4" s="25">
        <v>86164.09</v>
      </c>
      <c r="G4" s="24" t="s">
        <v>47</v>
      </c>
    </row>
    <row r="7" spans="2:17">
      <c r="B7" s="26" t="s">
        <v>48</v>
      </c>
      <c r="C7" s="27" t="s">
        <v>49</v>
      </c>
      <c r="D7" s="28"/>
      <c r="E7" s="27">
        <v>18</v>
      </c>
      <c r="F7" s="27">
        <v>19</v>
      </c>
      <c r="G7" s="27">
        <v>20</v>
      </c>
      <c r="H7" s="27">
        <v>21</v>
      </c>
      <c r="I7" s="27">
        <v>22</v>
      </c>
      <c r="J7" s="27">
        <v>23</v>
      </c>
      <c r="K7" s="27">
        <v>0</v>
      </c>
      <c r="L7" s="27">
        <v>1</v>
      </c>
      <c r="M7" s="27">
        <v>2</v>
      </c>
      <c r="N7" s="27">
        <v>3</v>
      </c>
      <c r="O7" s="27">
        <v>4</v>
      </c>
      <c r="P7" s="27">
        <v>5</v>
      </c>
      <c r="Q7" s="29">
        <v>6</v>
      </c>
    </row>
    <row r="8" spans="2:17" ht="14.25" thickBot="1">
      <c r="B8" s="30" t="s">
        <v>50</v>
      </c>
      <c r="C8" s="31" t="s">
        <v>75</v>
      </c>
      <c r="D8" s="32"/>
      <c r="E8" s="33" t="str">
        <f t="shared" ref="E8:Q8" si="0">IF(E18&lt;0.07,"na",IF(AND(E16=0,E17=0,E18=1),90,ABS(DEGREES(ATAN(E18/(E17/COS(RADIANS(E19))))))))</f>
        <v>na</v>
      </c>
      <c r="F8" s="33">
        <f t="shared" si="0"/>
        <v>12.240295486395166</v>
      </c>
      <c r="G8" s="33">
        <f t="shared" si="0"/>
        <v>24.178203959791169</v>
      </c>
      <c r="H8" s="33">
        <f t="shared" si="0"/>
        <v>35.396260137327921</v>
      </c>
      <c r="I8" s="33">
        <f t="shared" si="0"/>
        <v>45.18664540167444</v>
      </c>
      <c r="J8" s="33">
        <f t="shared" si="0"/>
        <v>52.301553669123557</v>
      </c>
      <c r="K8" s="33">
        <f t="shared" si="0"/>
        <v>55</v>
      </c>
      <c r="L8" s="33">
        <f t="shared" si="0"/>
        <v>52.301553669123557</v>
      </c>
      <c r="M8" s="33">
        <f t="shared" si="0"/>
        <v>45.186645401674468</v>
      </c>
      <c r="N8" s="33">
        <f t="shared" si="0"/>
        <v>35.396260137327928</v>
      </c>
      <c r="O8" s="33">
        <f t="shared" si="0"/>
        <v>24.178203959791169</v>
      </c>
      <c r="P8" s="33">
        <f t="shared" si="0"/>
        <v>12.240295486395201</v>
      </c>
      <c r="Q8" s="34" t="str">
        <f t="shared" si="0"/>
        <v>na</v>
      </c>
    </row>
    <row r="9" spans="2:17" ht="14.25" thickTop="1">
      <c r="B9" s="35" t="s">
        <v>51</v>
      </c>
      <c r="C9" s="36" t="s">
        <v>52</v>
      </c>
      <c r="D9" s="37"/>
      <c r="E9" s="38" t="str">
        <f t="shared" ref="E9:Q9" si="1">IF(E8="na","",86164.09+24*(COS(RADIANS($F$2))/COS(RADIANS($F$1))*((COS(RADIANS($F$2))*COS(RADIANS($F$1))+SIN(RADIANS($F$2))*SIN(RADIANS($F$1))*COS(RADIANS(0-E7)*15))/(SIN(RADIANS($F$2))*SIN(RADIANS($F$1))+COS(RADIANS($F$2))*COS(RADIANS($F$1))*COS(RADIANS(0-E7)*15))^2)-_xlfn.COT(RADIANS($F$2))*TAN(RADIANS($F$1))*COS(RADIANS(0-E7)*15)))</f>
        <v/>
      </c>
      <c r="F9" s="38">
        <f t="shared" si="1"/>
        <v>86522.366877526612</v>
      </c>
      <c r="G9" s="38">
        <f t="shared" si="1"/>
        <v>86260.09</v>
      </c>
      <c r="H9" s="38">
        <f t="shared" si="1"/>
        <v>86212.09</v>
      </c>
      <c r="I9" s="38">
        <f t="shared" si="1"/>
        <v>86196.09</v>
      </c>
      <c r="J9" s="38">
        <f t="shared" si="1"/>
        <v>86189.813122473381</v>
      </c>
      <c r="K9" s="38">
        <f t="shared" si="1"/>
        <v>86188.09</v>
      </c>
      <c r="L9" s="38">
        <f t="shared" si="1"/>
        <v>86189.813122473381</v>
      </c>
      <c r="M9" s="38">
        <f t="shared" si="1"/>
        <v>86196.09</v>
      </c>
      <c r="N9" s="38">
        <f t="shared" si="1"/>
        <v>86212.09</v>
      </c>
      <c r="O9" s="38">
        <f t="shared" si="1"/>
        <v>86260.09</v>
      </c>
      <c r="P9" s="38">
        <f t="shared" si="1"/>
        <v>86522.366877526612</v>
      </c>
      <c r="Q9" s="39" t="str">
        <f t="shared" si="1"/>
        <v/>
      </c>
    </row>
    <row r="10" spans="2:17">
      <c r="B10" s="40" t="s">
        <v>53</v>
      </c>
      <c r="C10" s="41" t="s">
        <v>36</v>
      </c>
      <c r="D10" s="42"/>
      <c r="E10" s="43" t="str">
        <f t="shared" ref="E10:Q10" si="2">IF(E8="na","",58.3*1/TAN(RADIANS(E8)))</f>
        <v/>
      </c>
      <c r="F10" s="43">
        <f t="shared" si="2"/>
        <v>268.7330319882326</v>
      </c>
      <c r="G10" s="43">
        <f t="shared" si="2"/>
        <v>129.8554782173043</v>
      </c>
      <c r="H10" s="43">
        <f t="shared" si="2"/>
        <v>82.047410754528983</v>
      </c>
      <c r="I10" s="43">
        <f t="shared" si="2"/>
        <v>57.921398530090798</v>
      </c>
      <c r="J10" s="43">
        <f t="shared" si="2"/>
        <v>45.056835337061941</v>
      </c>
      <c r="K10" s="43">
        <f t="shared" si="2"/>
        <v>40.822099477626082</v>
      </c>
      <c r="L10" s="43">
        <f t="shared" si="2"/>
        <v>45.056835337061941</v>
      </c>
      <c r="M10" s="43">
        <f t="shared" si="2"/>
        <v>57.921398530090741</v>
      </c>
      <c r="N10" s="43">
        <f t="shared" si="2"/>
        <v>82.047410754528968</v>
      </c>
      <c r="O10" s="43">
        <f t="shared" si="2"/>
        <v>129.8554782173043</v>
      </c>
      <c r="P10" s="43">
        <f t="shared" si="2"/>
        <v>268.73303198823174</v>
      </c>
      <c r="Q10" s="44" t="str">
        <f t="shared" si="2"/>
        <v/>
      </c>
    </row>
    <row r="11" spans="2:17">
      <c r="B11" s="40"/>
      <c r="C11" s="41"/>
      <c r="D11" s="42" t="s">
        <v>54</v>
      </c>
      <c r="E11" s="45" t="str">
        <f>IF(E8="na","",58.3*(SIN(RADIANS(E7*15))*COS(RADIANS($F$2))/SIN(RADIANS(E8))))</f>
        <v/>
      </c>
      <c r="F11" s="45">
        <f t="shared" ref="F11:Q11" si="3">IF(F8="na","",58.3*(SIN(RADIANS(F7*15))*COS(RADIANS($F$2))/SIN(RADIANS(F8))))</f>
        <v>-217.57856208126609</v>
      </c>
      <c r="G11" s="45">
        <f t="shared" si="3"/>
        <v>-100.97856208126551</v>
      </c>
      <c r="H11" s="45">
        <f t="shared" si="3"/>
        <v>-58.300000000000011</v>
      </c>
      <c r="I11" s="45">
        <f t="shared" si="3"/>
        <v>-33.659520693755226</v>
      </c>
      <c r="J11" s="45">
        <f t="shared" si="3"/>
        <v>-15.621437918734445</v>
      </c>
      <c r="K11" s="45">
        <f t="shared" si="3"/>
        <v>0</v>
      </c>
      <c r="L11" s="45">
        <f t="shared" si="3"/>
        <v>15.621437918734449</v>
      </c>
      <c r="M11" s="45">
        <f t="shared" si="3"/>
        <v>33.659520693755169</v>
      </c>
      <c r="N11" s="45">
        <f t="shared" si="3"/>
        <v>58.299999999999983</v>
      </c>
      <c r="O11" s="45">
        <f t="shared" si="3"/>
        <v>100.97856208126551</v>
      </c>
      <c r="P11" s="45">
        <f t="shared" si="3"/>
        <v>217.57856208126546</v>
      </c>
      <c r="Q11" s="46" t="str">
        <f t="shared" si="3"/>
        <v/>
      </c>
    </row>
    <row r="12" spans="2:17">
      <c r="B12" s="47"/>
      <c r="C12" s="48"/>
      <c r="D12" s="37" t="s">
        <v>55</v>
      </c>
      <c r="E12" s="49" t="str">
        <f t="shared" ref="E12:Q12" si="4">IF(E8="na","",58.3*(SIN(RADIANS($F$2))/(SIN(RADIANS(E8))*COS(RADIANS($F$1)))-TAN(RADIANS($F$1))))</f>
        <v/>
      </c>
      <c r="F12" s="49">
        <f t="shared" si="4"/>
        <v>157.72448067512241</v>
      </c>
      <c r="G12" s="49">
        <f t="shared" si="4"/>
        <v>81.644198955252136</v>
      </c>
      <c r="H12" s="49">
        <f t="shared" si="4"/>
        <v>57.731166725802431</v>
      </c>
      <c r="I12" s="49">
        <f t="shared" si="4"/>
        <v>47.137300244586207</v>
      </c>
      <c r="J12" s="49">
        <f t="shared" si="4"/>
        <v>42.262147223517161</v>
      </c>
      <c r="K12" s="49">
        <f t="shared" si="4"/>
        <v>40.822099477626075</v>
      </c>
      <c r="L12" s="49">
        <f t="shared" si="4"/>
        <v>42.262147223517161</v>
      </c>
      <c r="M12" s="49">
        <f t="shared" si="4"/>
        <v>47.137300244586193</v>
      </c>
      <c r="N12" s="49">
        <f t="shared" si="4"/>
        <v>57.731166725802431</v>
      </c>
      <c r="O12" s="49">
        <f t="shared" si="4"/>
        <v>81.644198955252136</v>
      </c>
      <c r="P12" s="49">
        <f t="shared" si="4"/>
        <v>157.72448067512198</v>
      </c>
      <c r="Q12" s="50" t="str">
        <f t="shared" si="4"/>
        <v/>
      </c>
    </row>
    <row r="13" spans="2:17">
      <c r="B13" s="40" t="s">
        <v>56</v>
      </c>
      <c r="C13" s="41"/>
      <c r="D13" s="51" t="s">
        <v>57</v>
      </c>
      <c r="E13" s="52" t="str">
        <f>IF(E8="na","",((360+360/365.2422)/(24*60*60)*60^2-360/E9*60^2)*$F$3)</f>
        <v/>
      </c>
      <c r="F13" s="52">
        <f t="shared" ref="F13:Q13" si="5">IF(F8="na","",((360+360/365.2422)/(24*60*60)*60^2-360/F9*60^2)*$F$3)</f>
        <v>22.421823510511345</v>
      </c>
      <c r="G13" s="52">
        <f t="shared" si="5"/>
        <v>6.0261519971377453</v>
      </c>
      <c r="H13" s="52">
        <f t="shared" si="5"/>
        <v>3.0147366517585539</v>
      </c>
      <c r="I13" s="52">
        <f t="shared" si="5"/>
        <v>2.0101862182851704</v>
      </c>
      <c r="J13" s="52">
        <f t="shared" si="5"/>
        <v>1.6159943580871783</v>
      </c>
      <c r="K13" s="52">
        <f t="shared" si="5"/>
        <v>1.5077711376155634</v>
      </c>
      <c r="L13" s="52">
        <f t="shared" si="5"/>
        <v>1.6159943580871783</v>
      </c>
      <c r="M13" s="52">
        <f t="shared" si="5"/>
        <v>2.0101862182851704</v>
      </c>
      <c r="N13" s="52">
        <f t="shared" si="5"/>
        <v>3.0147366517585539</v>
      </c>
      <c r="O13" s="52">
        <f t="shared" si="5"/>
        <v>6.0261519971377453</v>
      </c>
      <c r="P13" s="52">
        <f t="shared" si="5"/>
        <v>22.421823510511345</v>
      </c>
      <c r="Q13" s="53" t="str">
        <f t="shared" si="5"/>
        <v/>
      </c>
    </row>
    <row r="14" spans="2:17">
      <c r="B14" s="47"/>
      <c r="C14" s="48"/>
      <c r="D14" s="37" t="s">
        <v>58</v>
      </c>
      <c r="E14" s="54" t="str">
        <f t="shared" ref="E14:Q14" si="6">IF(E11="","",IF(E11=0,0,0.0042513*SIN(RADIANS($F$2))*COS(RADIANS($F$2))*SIN(RADIANS(E7*15))/(SIN(RADIANS($F$1))*SIN(RADIANS($F$2))+COS(RADIANS($F$1))*COS(RADIANS($F$2))*COS(RADIANS(E7*15)))^2)*$F$3)</f>
        <v/>
      </c>
      <c r="F14" s="54">
        <f t="shared" si="6"/>
        <v>-15.452628096444121</v>
      </c>
      <c r="G14" s="54">
        <f t="shared" si="6"/>
        <v>-3.7122879741371166</v>
      </c>
      <c r="H14" s="54">
        <f t="shared" si="6"/>
        <v>-1.5155352191510372</v>
      </c>
      <c r="I14" s="54">
        <f t="shared" si="6"/>
        <v>-0.7144301537258263</v>
      </c>
      <c r="J14" s="54">
        <f t="shared" si="6"/>
        <v>-0.29727590493370193</v>
      </c>
      <c r="K14" s="54">
        <f t="shared" si="6"/>
        <v>0</v>
      </c>
      <c r="L14" s="54">
        <f t="shared" si="6"/>
        <v>0.29727590493370198</v>
      </c>
      <c r="M14" s="54">
        <f t="shared" si="6"/>
        <v>0.71443015372582519</v>
      </c>
      <c r="N14" s="54">
        <f t="shared" si="6"/>
        <v>1.5155352191510358</v>
      </c>
      <c r="O14" s="54">
        <f t="shared" si="6"/>
        <v>3.7122879741371166</v>
      </c>
      <c r="P14" s="54">
        <f t="shared" si="6"/>
        <v>15.452628096444066</v>
      </c>
      <c r="Q14" s="55" t="str">
        <f t="shared" si="6"/>
        <v/>
      </c>
    </row>
    <row r="16" spans="2:17">
      <c r="B16" s="56" t="s">
        <v>59</v>
      </c>
      <c r="C16" s="57" t="s">
        <v>72</v>
      </c>
      <c r="D16" s="58"/>
      <c r="E16" s="59">
        <f>COS(RADIANS($F$1))*SIN(RADIANS(E7*15))</f>
        <v>-1</v>
      </c>
      <c r="F16" s="59">
        <f t="shared" ref="F16:Q16" si="7">COS(RADIANS($F$1))*SIN(RADIANS(F7*15))</f>
        <v>-0.96592582628906842</v>
      </c>
      <c r="G16" s="59">
        <f t="shared" si="7"/>
        <v>-0.8660254037844386</v>
      </c>
      <c r="H16" s="59">
        <f t="shared" si="7"/>
        <v>-0.70710678118654768</v>
      </c>
      <c r="I16" s="59">
        <f t="shared" si="7"/>
        <v>-0.50000000000000044</v>
      </c>
      <c r="J16" s="59">
        <f t="shared" si="7"/>
        <v>-0.25881904510252068</v>
      </c>
      <c r="K16" s="59">
        <f t="shared" si="7"/>
        <v>0</v>
      </c>
      <c r="L16" s="59">
        <f t="shared" si="7"/>
        <v>0.25881904510252074</v>
      </c>
      <c r="M16" s="59">
        <f t="shared" si="7"/>
        <v>0.49999999999999994</v>
      </c>
      <c r="N16" s="59">
        <f t="shared" si="7"/>
        <v>0.70710678118654746</v>
      </c>
      <c r="O16" s="59">
        <f t="shared" si="7"/>
        <v>0.8660254037844386</v>
      </c>
      <c r="P16" s="59">
        <f t="shared" si="7"/>
        <v>0.96592582628906831</v>
      </c>
      <c r="Q16" s="60">
        <f t="shared" si="7"/>
        <v>1</v>
      </c>
    </row>
    <row r="17" spans="2:17">
      <c r="B17" s="61" t="s">
        <v>60</v>
      </c>
      <c r="C17" s="41" t="s">
        <v>73</v>
      </c>
      <c r="D17" s="42"/>
      <c r="E17" s="45">
        <f>-COS(RADIANS($F$2))*SIN(RADIANS($F$1))+SIN(RADIANS($F$2))*COS(RADIANS($F$1))*COS(RADIANS(E7*15))</f>
        <v>-1.0540744271512147E-16</v>
      </c>
      <c r="F17" s="45">
        <f t="shared" ref="F17:Q17" si="8">-COS(RADIANS($F$2))*SIN(RADIANS($F$1))+SIN(RADIANS($F$2))*COS(RADIANS($F$1))*COS(RADIANS(F7*15))</f>
        <v>0.14845250554968425</v>
      </c>
      <c r="G17" s="45">
        <f t="shared" si="8"/>
        <v>0.28678821817552308</v>
      </c>
      <c r="H17" s="45">
        <f t="shared" si="8"/>
        <v>0.40557978767263875</v>
      </c>
      <c r="I17" s="45">
        <f t="shared" si="8"/>
        <v>0.49673176489215387</v>
      </c>
      <c r="J17" s="45">
        <f t="shared" si="8"/>
        <v>0.55403229322232339</v>
      </c>
      <c r="K17" s="45">
        <f t="shared" si="8"/>
        <v>0.57357643635104605</v>
      </c>
      <c r="L17" s="45">
        <f t="shared" si="8"/>
        <v>0.55403229322232339</v>
      </c>
      <c r="M17" s="45">
        <f t="shared" si="8"/>
        <v>0.49673176489215404</v>
      </c>
      <c r="N17" s="45">
        <f t="shared" si="8"/>
        <v>0.40557978767263886</v>
      </c>
      <c r="O17" s="45">
        <f t="shared" si="8"/>
        <v>0.28678821817552308</v>
      </c>
      <c r="P17" s="45">
        <f t="shared" si="8"/>
        <v>0.1484525055496845</v>
      </c>
      <c r="Q17" s="46">
        <f t="shared" si="8"/>
        <v>3.5135814238373825E-17</v>
      </c>
    </row>
    <row r="18" spans="2:17">
      <c r="B18" s="61" t="s">
        <v>61</v>
      </c>
      <c r="C18" s="41" t="s">
        <v>74</v>
      </c>
      <c r="D18" s="42"/>
      <c r="E18" s="45">
        <f t="shared" ref="E18:Q18" si="9">SIN(RADIANS($F$1))*SIN(RADIANS($F$2))+COS(RADIANS($F$1))*COS(RADIANS($F$2))*COS(RADIANS(E7*15))</f>
        <v>-1.5053742920938437E-16</v>
      </c>
      <c r="F18" s="45">
        <f t="shared" si="9"/>
        <v>0.21201214989665426</v>
      </c>
      <c r="G18" s="45">
        <f t="shared" si="9"/>
        <v>0.40957602214449601</v>
      </c>
      <c r="H18" s="45">
        <f t="shared" si="9"/>
        <v>0.57922796533956911</v>
      </c>
      <c r="I18" s="45">
        <f t="shared" si="9"/>
        <v>0.7094064799162223</v>
      </c>
      <c r="J18" s="45">
        <f t="shared" si="9"/>
        <v>0.79124011523622384</v>
      </c>
      <c r="K18" s="45">
        <f t="shared" si="9"/>
        <v>0.8191520442889918</v>
      </c>
      <c r="L18" s="45">
        <f t="shared" si="9"/>
        <v>0.79124011523622384</v>
      </c>
      <c r="M18" s="45">
        <f t="shared" si="9"/>
        <v>0.70940647991622252</v>
      </c>
      <c r="N18" s="45">
        <f t="shared" si="9"/>
        <v>0.57922796533956922</v>
      </c>
      <c r="O18" s="45">
        <f t="shared" si="9"/>
        <v>0.40957602214449601</v>
      </c>
      <c r="P18" s="45">
        <f t="shared" si="9"/>
        <v>0.21201214989665462</v>
      </c>
      <c r="Q18" s="46">
        <f t="shared" si="9"/>
        <v>5.0179143069794789E-17</v>
      </c>
    </row>
    <row r="19" spans="2:17">
      <c r="B19" s="47" t="s">
        <v>62</v>
      </c>
      <c r="C19" s="48" t="s">
        <v>63</v>
      </c>
      <c r="D19" s="37"/>
      <c r="E19" s="62" t="str">
        <f>IF(E18&lt;0,"na",IF(E18=1,0,DEGREES(ATAN(E16/E17))))</f>
        <v>na</v>
      </c>
      <c r="F19" s="62">
        <f t="shared" ref="F19:Q19" si="10">IF(F18&lt;0,"na",IF(F18=1,0,DEGREES(ATAN(F16/F17))))</f>
        <v>-81.262614812084863</v>
      </c>
      <c r="G19" s="62">
        <f t="shared" si="10"/>
        <v>-71.677478167328047</v>
      </c>
      <c r="H19" s="62">
        <f t="shared" si="10"/>
        <v>-60.162433521686218</v>
      </c>
      <c r="I19" s="62">
        <f t="shared" si="10"/>
        <v>-45.187869408440783</v>
      </c>
      <c r="J19" s="62">
        <f t="shared" si="10"/>
        <v>-25.039872563775944</v>
      </c>
      <c r="K19" s="62">
        <f t="shared" si="10"/>
        <v>0</v>
      </c>
      <c r="L19" s="62">
        <f t="shared" si="10"/>
        <v>25.039872563775948</v>
      </c>
      <c r="M19" s="62">
        <f t="shared" si="10"/>
        <v>45.18786940844074</v>
      </c>
      <c r="N19" s="62">
        <f t="shared" si="10"/>
        <v>60.162433521686211</v>
      </c>
      <c r="O19" s="62">
        <f t="shared" si="10"/>
        <v>71.677478167328047</v>
      </c>
      <c r="P19" s="62">
        <f t="shared" si="10"/>
        <v>81.262614812084834</v>
      </c>
      <c r="Q19" s="63">
        <f t="shared" si="10"/>
        <v>90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hryk</dc:creator>
  <cp:lastModifiedBy>hryk</cp:lastModifiedBy>
  <dcterms:created xsi:type="dcterms:W3CDTF">1997-01-08T22:48:59Z</dcterms:created>
  <dcterms:modified xsi:type="dcterms:W3CDTF">2022-01-16T20:12:40Z</dcterms:modified>
</cp:coreProperties>
</file>