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ME\priv\atwork\www\zWork\data\"/>
    </mc:Choice>
  </mc:AlternateContent>
  <bookViews>
    <workbookView xWindow="0" yWindow="0" windowWidth="20490" windowHeight="8985"/>
  </bookViews>
  <sheets>
    <sheet name="Sheet1" sheetId="3" r:id="rId1"/>
    <sheet name="Sheet2" sheetId="1" r:id="rId2"/>
  </sheets>
  <calcPr calcId="152511"/>
</workbook>
</file>

<file path=xl/calcChain.xml><?xml version="1.0" encoding="utf-8"?>
<calcChain xmlns="http://schemas.openxmlformats.org/spreadsheetml/2006/main">
  <c r="Q13" i="3" l="1"/>
  <c r="P13" i="3"/>
  <c r="O13" i="3"/>
  <c r="N13" i="3"/>
  <c r="M13" i="3"/>
  <c r="L13" i="3"/>
  <c r="K13" i="3"/>
  <c r="J13" i="3"/>
  <c r="I13" i="3"/>
  <c r="H13" i="3"/>
  <c r="G13" i="3"/>
  <c r="F13" i="3"/>
  <c r="E13" i="3"/>
  <c r="Q11" i="3"/>
  <c r="P11" i="3"/>
  <c r="P14" i="3"/>
  <c r="O11" i="3"/>
  <c r="N11" i="3"/>
  <c r="M11" i="3"/>
  <c r="L11" i="3"/>
  <c r="L14" i="3"/>
  <c r="K11" i="3"/>
  <c r="J11" i="3"/>
  <c r="I11" i="3"/>
  <c r="H11" i="3"/>
  <c r="H14" i="3"/>
  <c r="G11" i="3"/>
  <c r="F11" i="3"/>
  <c r="E11" i="3"/>
  <c r="N2" i="1"/>
  <c r="N1" i="1"/>
  <c r="Q17" i="3"/>
  <c r="P17" i="3"/>
  <c r="O17" i="3"/>
  <c r="N17" i="3"/>
  <c r="M17" i="3"/>
  <c r="L17" i="3"/>
  <c r="K17" i="3"/>
  <c r="J17" i="3"/>
  <c r="I17" i="3"/>
  <c r="H17" i="3"/>
  <c r="G17" i="3"/>
  <c r="F17" i="3"/>
  <c r="Q16" i="3"/>
  <c r="P16" i="3"/>
  <c r="P19" i="3"/>
  <c r="O16" i="3"/>
  <c r="N16" i="3"/>
  <c r="M16" i="3"/>
  <c r="M19" i="3"/>
  <c r="M8" i="3"/>
  <c r="L16" i="3"/>
  <c r="L19" i="3"/>
  <c r="L8" i="3"/>
  <c r="K16" i="3"/>
  <c r="J16" i="3"/>
  <c r="J8" i="3"/>
  <c r="I16" i="3"/>
  <c r="I19" i="3"/>
  <c r="I8" i="3"/>
  <c r="H16" i="3"/>
  <c r="H19" i="3"/>
  <c r="H8" i="3"/>
  <c r="G16" i="3"/>
  <c r="F16" i="3"/>
  <c r="F8" i="3"/>
  <c r="E17" i="3"/>
  <c r="E16" i="3"/>
  <c r="E6" i="1"/>
  <c r="E8" i="1"/>
  <c r="Q18" i="3"/>
  <c r="P18" i="3"/>
  <c r="O18" i="3"/>
  <c r="N18" i="3"/>
  <c r="M18" i="3"/>
  <c r="L18" i="3"/>
  <c r="K18" i="3"/>
  <c r="J18" i="3"/>
  <c r="I18" i="3"/>
  <c r="H18" i="3"/>
  <c r="G18" i="3"/>
  <c r="F18" i="3"/>
  <c r="K19" i="3"/>
  <c r="G19" i="3"/>
  <c r="G8" i="3"/>
  <c r="E18" i="3"/>
  <c r="E19" i="3"/>
  <c r="Q19" i="3"/>
  <c r="G1" i="3"/>
  <c r="N3" i="1"/>
  <c r="Q8" i="3"/>
  <c r="Q14" i="3"/>
  <c r="F19" i="3"/>
  <c r="N19" i="3"/>
  <c r="N8" i="3"/>
  <c r="J19" i="3"/>
  <c r="Q10" i="3"/>
  <c r="Q9" i="3"/>
  <c r="K8" i="3"/>
  <c r="E8" i="3"/>
  <c r="E10" i="3"/>
  <c r="O19" i="3"/>
  <c r="O8" i="3"/>
  <c r="Q12" i="3"/>
  <c r="K10" i="3"/>
  <c r="K14" i="3"/>
  <c r="K12" i="3"/>
  <c r="K9" i="3"/>
  <c r="I10" i="3"/>
  <c r="I14" i="3"/>
  <c r="I12" i="3"/>
  <c r="I9" i="3"/>
  <c r="M12" i="3"/>
  <c r="M9" i="3"/>
  <c r="M10" i="3"/>
  <c r="M14" i="3"/>
  <c r="N14" i="3"/>
  <c r="N12" i="3"/>
  <c r="N10" i="3"/>
  <c r="N9" i="3"/>
  <c r="F12" i="3"/>
  <c r="F14" i="3"/>
  <c r="F9" i="3"/>
  <c r="F10" i="3"/>
  <c r="J9" i="3"/>
  <c r="J14" i="3"/>
  <c r="J12" i="3"/>
  <c r="J10" i="3"/>
  <c r="O9" i="3"/>
  <c r="O12" i="3"/>
  <c r="O14" i="3"/>
  <c r="O10" i="3"/>
  <c r="G9" i="3"/>
  <c r="G14" i="3"/>
  <c r="G10" i="3"/>
  <c r="G12" i="3"/>
  <c r="H10" i="3"/>
  <c r="H12" i="3"/>
  <c r="H9" i="3"/>
  <c r="L10" i="3"/>
  <c r="L9" i="3"/>
  <c r="L12" i="3"/>
  <c r="P8" i="3"/>
  <c r="E12" i="3"/>
  <c r="E14" i="3"/>
  <c r="E9" i="3"/>
  <c r="P12" i="3"/>
  <c r="P10" i="3"/>
  <c r="P9" i="3"/>
  <c r="N5" i="1"/>
  <c r="E10" i="1"/>
  <c r="F2" i="1"/>
  <c r="E13" i="1"/>
  <c r="E18" i="1"/>
  <c r="E14" i="1"/>
  <c r="E17" i="1"/>
  <c r="E12" i="1"/>
</calcChain>
</file>

<file path=xl/sharedStrings.xml><?xml version="1.0" encoding="utf-8"?>
<sst xmlns="http://schemas.openxmlformats.org/spreadsheetml/2006/main" count="80" uniqueCount="60">
  <si>
    <t>φ</t>
  </si>
  <si>
    <t>観測地の緯度</t>
    <rPh sb="0" eb="3">
      <t>カンソクチ</t>
    </rPh>
    <rPh sb="4" eb="6">
      <t>イド</t>
    </rPh>
    <phoneticPr fontId="1"/>
  </si>
  <si>
    <t>Η</t>
  </si>
  <si>
    <t>追尾する天体の位置</t>
    <rPh sb="0" eb="2">
      <t>ツイビ</t>
    </rPh>
    <rPh sb="4" eb="6">
      <t>テンタイ</t>
    </rPh>
    <rPh sb="7" eb="9">
      <t>イチ</t>
    </rPh>
    <phoneticPr fontId="1"/>
  </si>
  <si>
    <t>(時角)</t>
    <rPh sb="1" eb="3">
      <t>ジカク</t>
    </rPh>
    <phoneticPr fontId="1"/>
  </si>
  <si>
    <t>(赤緯)</t>
    <rPh sb="1" eb="3">
      <t>セキイ</t>
    </rPh>
    <phoneticPr fontId="1"/>
  </si>
  <si>
    <t>〃</t>
    <phoneticPr fontId="2"/>
  </si>
  <si>
    <t>h</t>
    <phoneticPr fontId="1"/>
  </si>
  <si>
    <t>°</t>
    <phoneticPr fontId="1"/>
  </si>
  <si>
    <t>s</t>
    <phoneticPr fontId="1"/>
  </si>
  <si>
    <t>↓</t>
    <phoneticPr fontId="1"/>
  </si>
  <si>
    <t>t</t>
    <phoneticPr fontId="1"/>
  </si>
  <si>
    <t>追尾時間</t>
    <rPh sb="0" eb="2">
      <t>ツイビ</t>
    </rPh>
    <rPh sb="2" eb="4">
      <t>ジカン</t>
    </rPh>
    <phoneticPr fontId="1"/>
  </si>
  <si>
    <t>err</t>
    <phoneticPr fontId="1"/>
  </si>
  <si>
    <t>RA</t>
    <phoneticPr fontId="1"/>
  </si>
  <si>
    <t>DEC</t>
    <phoneticPr fontId="1"/>
  </si>
  <si>
    <t>δ</t>
    <phoneticPr fontId="1"/>
  </si>
  <si>
    <t>大気差</t>
    <rPh sb="0" eb="3">
      <t>タイキサ</t>
    </rPh>
    <phoneticPr fontId="1"/>
  </si>
  <si>
    <t>Rz</t>
    <phoneticPr fontId="1"/>
  </si>
  <si>
    <t>単位時間あたりの誤差</t>
    <rPh sb="0" eb="2">
      <t>タンイ</t>
    </rPh>
    <rPh sb="2" eb="4">
      <t>ジカン</t>
    </rPh>
    <rPh sb="8" eb="10">
      <t>ゴサ</t>
    </rPh>
    <phoneticPr fontId="1"/>
  </si>
  <si>
    <t>"</t>
    <phoneticPr fontId="1"/>
  </si>
  <si>
    <t>RA成分</t>
    <rPh sb="2" eb="4">
      <t>セイブン</t>
    </rPh>
    <phoneticPr fontId="1"/>
  </si>
  <si>
    <t>DEC〃</t>
    <phoneticPr fontId="1"/>
  </si>
  <si>
    <t>°</t>
    <phoneticPr fontId="1"/>
  </si>
  <si>
    <t>A</t>
    <phoneticPr fontId="1"/>
  </si>
  <si>
    <t>方位</t>
    <rPh sb="0" eb="2">
      <t>ホウイ</t>
    </rPh>
    <phoneticPr fontId="1"/>
  </si>
  <si>
    <t>(式1)</t>
    <rPh sb="1" eb="2">
      <t>シキ</t>
    </rPh>
    <phoneticPr fontId="1"/>
  </si>
  <si>
    <t>(式2)</t>
    <rPh sb="1" eb="2">
      <t>シキ</t>
    </rPh>
    <phoneticPr fontId="1"/>
  </si>
  <si>
    <t>(式3)</t>
    <rPh sb="1" eb="2">
      <t>シキ</t>
    </rPh>
    <phoneticPr fontId="1"/>
  </si>
  <si>
    <t>(式4)</t>
    <rPh sb="1" eb="2">
      <t>シキ</t>
    </rPh>
    <phoneticPr fontId="1"/>
  </si>
  <si>
    <t>(式5)</t>
    <rPh sb="1" eb="2">
      <t>シキ</t>
    </rPh>
    <phoneticPr fontId="1"/>
  </si>
  <si>
    <t>(式6)</t>
    <rPh sb="1" eb="2">
      <t>シキ</t>
    </rPh>
    <phoneticPr fontId="1"/>
  </si>
  <si>
    <t>″(追尾時間)</t>
    <rPh sb="2" eb="4">
      <t>ツイビ</t>
    </rPh>
    <rPh sb="4" eb="6">
      <t>ジカン</t>
    </rPh>
    <phoneticPr fontId="2"/>
  </si>
  <si>
    <t>″(追尾時間)</t>
    <phoneticPr fontId="2"/>
  </si>
  <si>
    <t>(1)</t>
    <phoneticPr fontId="1"/>
  </si>
  <si>
    <t>(2)</t>
    <phoneticPr fontId="1"/>
  </si>
  <si>
    <t>(3)</t>
    <phoneticPr fontId="1"/>
  </si>
  <si>
    <t>(1)</t>
    <phoneticPr fontId="3"/>
  </si>
  <si>
    <t>(2)</t>
    <phoneticPr fontId="3"/>
  </si>
  <si>
    <t>(3)</t>
    <phoneticPr fontId="3"/>
  </si>
  <si>
    <t>方位</t>
    <rPh sb="0" eb="2">
      <t>ホウイ</t>
    </rPh>
    <phoneticPr fontId="3"/>
  </si>
  <si>
    <t>時角</t>
    <rPh sb="0" eb="2">
      <t>ジカク</t>
    </rPh>
    <phoneticPr fontId="3"/>
  </si>
  <si>
    <t>A</t>
    <phoneticPr fontId="3"/>
  </si>
  <si>
    <t>追尾する天体の位置</t>
    <rPh sb="0" eb="2">
      <t>ツイビ</t>
    </rPh>
    <rPh sb="4" eb="6">
      <t>テンタイ</t>
    </rPh>
    <rPh sb="7" eb="9">
      <t>イチ</t>
    </rPh>
    <phoneticPr fontId="2"/>
  </si>
  <si>
    <t>H</t>
    <phoneticPr fontId="3"/>
  </si>
  <si>
    <t>修正速度/回転</t>
    <rPh sb="0" eb="2">
      <t>シュウセイ</t>
    </rPh>
    <rPh sb="2" eb="3">
      <t>ソクド</t>
    </rPh>
    <rPh sb="4" eb="6">
      <t>カイテン</t>
    </rPh>
    <phoneticPr fontId="3"/>
  </si>
  <si>
    <t>corr.(avg)</t>
    <phoneticPr fontId="3"/>
  </si>
  <si>
    <t>"/回転</t>
    <rPh sb="2" eb="4">
      <t>カイテン</t>
    </rPh>
    <phoneticPr fontId="3"/>
  </si>
  <si>
    <t>恒星時速度</t>
    <rPh sb="0" eb="3">
      <t>コウセイジ</t>
    </rPh>
    <rPh sb="3" eb="5">
      <t>ソクド</t>
    </rPh>
    <phoneticPr fontId="3"/>
  </si>
  <si>
    <t>err/tracking time</t>
    <phoneticPr fontId="3"/>
  </si>
  <si>
    <t>RA</t>
    <phoneticPr fontId="3"/>
  </si>
  <si>
    <t>a</t>
    <phoneticPr fontId="3"/>
  </si>
  <si>
    <t>cosδ・sint</t>
    <phoneticPr fontId="1"/>
  </si>
  <si>
    <t>-cosφ・sinδ+sinφ・cosδ・cost</t>
    <phoneticPr fontId="1"/>
  </si>
  <si>
    <t>sinδ・sinφ+cosδ・cosφ・cost</t>
    <phoneticPr fontId="1"/>
  </si>
  <si>
    <t>高度</t>
    <rPh sb="0" eb="2">
      <t>コウド</t>
    </rPh>
    <phoneticPr fontId="3"/>
  </si>
  <si>
    <t>cosh・sinA</t>
    <phoneticPr fontId="3"/>
  </si>
  <si>
    <t>cosh・cosA</t>
    <phoneticPr fontId="3"/>
  </si>
  <si>
    <t>sinh</t>
    <phoneticPr fontId="3"/>
  </si>
  <si>
    <t>高度</t>
    <rPh sb="0" eb="2">
      <t>コウド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</si>
</sst>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[Red]\-0.0"/>
    <numFmt numFmtId="177" formatCode="0;[Red]\-0"/>
    <numFmt numFmtId="178" formatCode="0.00;[Red]\-0.00"/>
  </numFmts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5" borderId="1" xfId="0" applyFill="1" applyBorder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quotePrefix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176" fontId="0" fillId="0" borderId="2" xfId="0" applyNumberFormat="1" applyBorder="1">
      <alignment vertical="center"/>
    </xf>
    <xf numFmtId="0" fontId="0" fillId="0" borderId="2" xfId="0" quotePrefix="1" applyFill="1" applyBorder="1">
      <alignment vertical="center"/>
    </xf>
    <xf numFmtId="178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quotePrefix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7" fontId="0" fillId="0" borderId="11" xfId="0" applyNumberFormat="1" applyBorder="1">
      <alignment vertical="center"/>
    </xf>
    <xf numFmtId="0" fontId="0" fillId="0" borderId="12" xfId="0" applyFill="1" applyBorder="1">
      <alignment vertical="center"/>
    </xf>
    <xf numFmtId="178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6" xfId="0" quotePrefix="1" applyBorder="1">
      <alignment vertical="center"/>
    </xf>
    <xf numFmtId="0" fontId="0" fillId="0" borderId="17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4" xfId="0" quotePrefix="1" applyBorder="1">
      <alignment vertical="center"/>
    </xf>
    <xf numFmtId="0" fontId="0" fillId="0" borderId="19" xfId="0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13" xfId="0" applyNumberFormat="1" applyFill="1" applyBorder="1">
      <alignment vertical="center"/>
    </xf>
    <xf numFmtId="176" fontId="0" fillId="2" borderId="0" xfId="0" quotePrefix="1" applyNumberFormat="1" applyFill="1" applyBorder="1" applyAlignment="1"/>
    <xf numFmtId="176" fontId="0" fillId="2" borderId="18" xfId="0" quotePrefix="1" applyNumberFormat="1" applyFill="1" applyBorder="1" applyAlignment="1"/>
    <xf numFmtId="176" fontId="4" fillId="5" borderId="0" xfId="0" applyNumberFormat="1" applyFont="1" applyFill="1" applyBorder="1" applyAlignment="1"/>
    <xf numFmtId="176" fontId="4" fillId="5" borderId="20" xfId="0" applyNumberFormat="1" applyFont="1" applyFill="1" applyBorder="1" applyAlignment="1"/>
    <xf numFmtId="176" fontId="4" fillId="5" borderId="2" xfId="0" applyNumberFormat="1" applyFont="1" applyFill="1" applyBorder="1" applyAlignment="1"/>
    <xf numFmtId="176" fontId="4" fillId="5" borderId="18" xfId="0" applyNumberFormat="1" applyFont="1" applyFill="1" applyBorder="1" applyAlignment="1"/>
    <xf numFmtId="176" fontId="4" fillId="5" borderId="13" xfId="0" applyNumberFormat="1" applyFont="1" applyFill="1" applyBorder="1" applyAlignment="1"/>
    <xf numFmtId="0" fontId="0" fillId="6" borderId="8" xfId="0" applyFill="1" applyBorder="1">
      <alignment vertical="center"/>
    </xf>
    <xf numFmtId="0" fontId="0" fillId="6" borderId="2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tabSelected="1" workbookViewId="0">
      <selection activeCell="F1" sqref="F1"/>
    </sheetView>
  </sheetViews>
  <sheetFormatPr defaultRowHeight="13.5"/>
  <cols>
    <col min="1" max="1" width="1.625" customWidth="1"/>
    <col min="2" max="17" width="8.625" customWidth="1"/>
  </cols>
  <sheetData>
    <row r="1" spans="2:17">
      <c r="B1" t="s">
        <v>16</v>
      </c>
      <c r="C1" s="5" t="s">
        <v>43</v>
      </c>
      <c r="E1" t="s">
        <v>5</v>
      </c>
      <c r="F1" s="2">
        <v>0</v>
      </c>
      <c r="G1" t="str">
        <f>"°("&amp;TEXT(90-(90-F2),"#")&amp;"°入力で天頂)"</f>
        <v>°(35°入力で天頂)</v>
      </c>
    </row>
    <row r="2" spans="2:17">
      <c r="B2" t="s">
        <v>0</v>
      </c>
      <c r="C2" t="s">
        <v>1</v>
      </c>
      <c r="F2" s="3">
        <v>35</v>
      </c>
      <c r="G2" t="s">
        <v>8</v>
      </c>
    </row>
    <row r="3" spans="2:17">
      <c r="B3" t="s">
        <v>11</v>
      </c>
      <c r="C3" t="s">
        <v>12</v>
      </c>
      <c r="F3" s="2">
        <v>60</v>
      </c>
      <c r="G3" t="s">
        <v>9</v>
      </c>
    </row>
    <row r="4" spans="2:17">
      <c r="C4" t="s">
        <v>48</v>
      </c>
      <c r="F4" s="18">
        <v>86164.09</v>
      </c>
      <c r="G4" t="s">
        <v>47</v>
      </c>
    </row>
    <row r="7" spans="2:17">
      <c r="B7" s="28" t="s">
        <v>44</v>
      </c>
      <c r="C7" s="29" t="s">
        <v>41</v>
      </c>
      <c r="D7" s="30"/>
      <c r="E7" s="55">
        <v>18</v>
      </c>
      <c r="F7" s="55">
        <v>19</v>
      </c>
      <c r="G7" s="55">
        <v>20</v>
      </c>
      <c r="H7" s="55">
        <v>21</v>
      </c>
      <c r="I7" s="55">
        <v>22</v>
      </c>
      <c r="J7" s="55">
        <v>23</v>
      </c>
      <c r="K7" s="55">
        <v>0</v>
      </c>
      <c r="L7" s="55">
        <v>1</v>
      </c>
      <c r="M7" s="55">
        <v>2</v>
      </c>
      <c r="N7" s="55">
        <v>3</v>
      </c>
      <c r="O7" s="55">
        <v>4</v>
      </c>
      <c r="P7" s="55">
        <v>5</v>
      </c>
      <c r="Q7" s="56">
        <v>6</v>
      </c>
    </row>
    <row r="8" spans="2:17" ht="14.25" thickBot="1">
      <c r="B8" s="31" t="s">
        <v>51</v>
      </c>
      <c r="C8" s="22" t="s">
        <v>55</v>
      </c>
      <c r="D8" s="25"/>
      <c r="E8" s="23" t="str">
        <f t="shared" ref="E8:Q8" si="0">IF(E18&lt;0.07,"na",IF(AND(E16=0,E17=0,E18=1),90,ABS(DEGREES(ATAN(E18/(E17/COS(RADIANS(E19))))))))</f>
        <v>na</v>
      </c>
      <c r="F8" s="23">
        <f t="shared" si="0"/>
        <v>12.240295486395166</v>
      </c>
      <c r="G8" s="23">
        <f t="shared" si="0"/>
        <v>24.178203959791169</v>
      </c>
      <c r="H8" s="23">
        <f t="shared" si="0"/>
        <v>35.396260137327921</v>
      </c>
      <c r="I8" s="23">
        <f t="shared" si="0"/>
        <v>45.18664540167444</v>
      </c>
      <c r="J8" s="23">
        <f t="shared" si="0"/>
        <v>52.301553669123557</v>
      </c>
      <c r="K8" s="23">
        <f t="shared" si="0"/>
        <v>55</v>
      </c>
      <c r="L8" s="23">
        <f t="shared" si="0"/>
        <v>52.301553669123557</v>
      </c>
      <c r="M8" s="23">
        <f t="shared" si="0"/>
        <v>45.186645401674468</v>
      </c>
      <c r="N8" s="23">
        <f t="shared" si="0"/>
        <v>35.396260137327928</v>
      </c>
      <c r="O8" s="23">
        <f t="shared" si="0"/>
        <v>24.178203959791169</v>
      </c>
      <c r="P8" s="23">
        <f t="shared" si="0"/>
        <v>12.240295486395201</v>
      </c>
      <c r="Q8" s="32" t="str">
        <f t="shared" si="0"/>
        <v>na</v>
      </c>
    </row>
    <row r="9" spans="2:17" ht="14.25" thickTop="1">
      <c r="B9" s="33" t="s">
        <v>46</v>
      </c>
      <c r="C9" s="20" t="s">
        <v>45</v>
      </c>
      <c r="D9" s="26"/>
      <c r="E9" s="21" t="str">
        <f t="shared" ref="E9:Q9" si="1">IF(E8="na","",86164.09+24*(COS(RADIANS($F$2))/COS(RADIANS($F$1))*((COS(RADIANS($F$2))*COS(RADIANS($F$1))+SIN(RADIANS($F$2))*SIN(RADIANS($F$1))*COS(RADIANS(0-E7)*15))/(SIN(RADIANS($F$2))*SIN(RADIANS($F$1))+COS(RADIANS($F$2))*COS(RADIANS($F$1))*COS(RADIANS(0-E7)*15))^2)-_xlfn.COT(RADIANS($F$2))*TAN(RADIANS($F$1))*COS(RADIANS(0-E7)*15)))</f>
        <v/>
      </c>
      <c r="F9" s="21">
        <f t="shared" si="1"/>
        <v>86522.366877526612</v>
      </c>
      <c r="G9" s="21">
        <f t="shared" si="1"/>
        <v>86260.09</v>
      </c>
      <c r="H9" s="21">
        <f t="shared" si="1"/>
        <v>86212.09</v>
      </c>
      <c r="I9" s="21">
        <f t="shared" si="1"/>
        <v>86196.09</v>
      </c>
      <c r="J9" s="21">
        <f t="shared" si="1"/>
        <v>86189.813122473381</v>
      </c>
      <c r="K9" s="21">
        <f t="shared" si="1"/>
        <v>86188.09</v>
      </c>
      <c r="L9" s="21">
        <f t="shared" si="1"/>
        <v>86189.813122473381</v>
      </c>
      <c r="M9" s="21">
        <f t="shared" si="1"/>
        <v>86196.09</v>
      </c>
      <c r="N9" s="21">
        <f t="shared" si="1"/>
        <v>86212.09</v>
      </c>
      <c r="O9" s="21">
        <f t="shared" si="1"/>
        <v>86260.09</v>
      </c>
      <c r="P9" s="21">
        <f t="shared" si="1"/>
        <v>86522.366877526612</v>
      </c>
      <c r="Q9" s="34" t="str">
        <f t="shared" si="1"/>
        <v/>
      </c>
    </row>
    <row r="10" spans="2:17">
      <c r="B10" s="35" t="s">
        <v>18</v>
      </c>
      <c r="C10" s="17" t="s">
        <v>17</v>
      </c>
      <c r="D10" s="24"/>
      <c r="E10" s="48" t="str">
        <f t="shared" ref="E10:Q10" si="2">IF(E8="na","",58.3*1/TAN(RADIANS(E8)))</f>
        <v/>
      </c>
      <c r="F10" s="48">
        <f t="shared" si="2"/>
        <v>268.7330319882326</v>
      </c>
      <c r="G10" s="48">
        <f t="shared" si="2"/>
        <v>129.8554782173043</v>
      </c>
      <c r="H10" s="48">
        <f t="shared" si="2"/>
        <v>82.047410754528983</v>
      </c>
      <c r="I10" s="48">
        <f t="shared" si="2"/>
        <v>57.921398530090798</v>
      </c>
      <c r="J10" s="48">
        <f t="shared" si="2"/>
        <v>45.056835337061941</v>
      </c>
      <c r="K10" s="48">
        <f t="shared" si="2"/>
        <v>40.822099477626082</v>
      </c>
      <c r="L10" s="48">
        <f t="shared" si="2"/>
        <v>45.056835337061941</v>
      </c>
      <c r="M10" s="48">
        <f t="shared" si="2"/>
        <v>57.921398530090741</v>
      </c>
      <c r="N10" s="48">
        <f t="shared" si="2"/>
        <v>82.047410754528968</v>
      </c>
      <c r="O10" s="48">
        <f t="shared" si="2"/>
        <v>129.8554782173043</v>
      </c>
      <c r="P10" s="48">
        <f t="shared" si="2"/>
        <v>268.73303198823174</v>
      </c>
      <c r="Q10" s="49" t="str">
        <f t="shared" si="2"/>
        <v/>
      </c>
    </row>
    <row r="11" spans="2:17">
      <c r="B11" s="35"/>
      <c r="C11" s="17"/>
      <c r="D11" s="24" t="s">
        <v>21</v>
      </c>
      <c r="E11" s="36" t="str">
        <f>IF(E8="na","",58.3*(SIN(RADIANS(E7*15))*COS(RADIANS($F$2))/SIN(RADIANS(E8))))</f>
        <v/>
      </c>
      <c r="F11" s="36">
        <f t="shared" ref="F11:Q11" si="3">IF(F8="na","",58.3*(SIN(RADIANS(F7*15))*COS(RADIANS($F$2))/SIN(RADIANS(F8))))</f>
        <v>-217.57856208126609</v>
      </c>
      <c r="G11" s="36">
        <f t="shared" si="3"/>
        <v>-100.97856208126551</v>
      </c>
      <c r="H11" s="36">
        <f t="shared" si="3"/>
        <v>-58.300000000000011</v>
      </c>
      <c r="I11" s="36">
        <f t="shared" si="3"/>
        <v>-33.659520693755226</v>
      </c>
      <c r="J11" s="36">
        <f t="shared" si="3"/>
        <v>-15.621437918734445</v>
      </c>
      <c r="K11" s="36">
        <f t="shared" si="3"/>
        <v>0</v>
      </c>
      <c r="L11" s="36">
        <f t="shared" si="3"/>
        <v>15.621437918734449</v>
      </c>
      <c r="M11" s="36">
        <f t="shared" si="3"/>
        <v>33.659520693755169</v>
      </c>
      <c r="N11" s="36">
        <f t="shared" si="3"/>
        <v>58.299999999999983</v>
      </c>
      <c r="O11" s="36">
        <f t="shared" si="3"/>
        <v>100.97856208126551</v>
      </c>
      <c r="P11" s="36">
        <f t="shared" si="3"/>
        <v>217.57856208126546</v>
      </c>
      <c r="Q11" s="37" t="str">
        <f t="shared" si="3"/>
        <v/>
      </c>
    </row>
    <row r="12" spans="2:17">
      <c r="B12" s="38"/>
      <c r="C12" s="7"/>
      <c r="D12" s="26" t="s">
        <v>22</v>
      </c>
      <c r="E12" s="19" t="str">
        <f t="shared" ref="E12:Q12" si="4">IF(E8="na","",58.3*(SIN(RADIANS($F$2))/(SIN(RADIANS(E8))*COS(RADIANS($F$1)))-TAN(RADIANS($F$1))))</f>
        <v/>
      </c>
      <c r="F12" s="19">
        <f t="shared" si="4"/>
        <v>157.72448067512241</v>
      </c>
      <c r="G12" s="19">
        <f t="shared" si="4"/>
        <v>81.644198955252136</v>
      </c>
      <c r="H12" s="19">
        <f t="shared" si="4"/>
        <v>57.731166725802431</v>
      </c>
      <c r="I12" s="19">
        <f t="shared" si="4"/>
        <v>47.137300244586207</v>
      </c>
      <c r="J12" s="19">
        <f t="shared" si="4"/>
        <v>42.262147223517161</v>
      </c>
      <c r="K12" s="19">
        <f t="shared" si="4"/>
        <v>40.822099477626075</v>
      </c>
      <c r="L12" s="19">
        <f t="shared" si="4"/>
        <v>42.262147223517161</v>
      </c>
      <c r="M12" s="19">
        <f t="shared" si="4"/>
        <v>47.137300244586193</v>
      </c>
      <c r="N12" s="19">
        <f t="shared" si="4"/>
        <v>57.731166725802431</v>
      </c>
      <c r="O12" s="19">
        <f t="shared" si="4"/>
        <v>81.644198955252136</v>
      </c>
      <c r="P12" s="19">
        <f t="shared" si="4"/>
        <v>157.72448067512198</v>
      </c>
      <c r="Q12" s="39" t="str">
        <f t="shared" si="4"/>
        <v/>
      </c>
    </row>
    <row r="13" spans="2:17">
      <c r="B13" s="35" t="s">
        <v>49</v>
      </c>
      <c r="C13" s="17"/>
      <c r="D13" s="27" t="s">
        <v>50</v>
      </c>
      <c r="E13" s="50" t="str">
        <f>IF(E8="na","",((360+360/365.2422)/(24*60*60)*60^2-360/E9*60^2)*$F$3)</f>
        <v/>
      </c>
      <c r="F13" s="50">
        <f t="shared" ref="F13:Q13" si="5">IF(F8="na","",((360+360/365.2422)/(24*60*60)*60^2-360/F9*60^2)*$F$3)</f>
        <v>3.7369705850852242</v>
      </c>
      <c r="G13" s="50">
        <f t="shared" si="5"/>
        <v>1.0043586661896242</v>
      </c>
      <c r="H13" s="50">
        <f t="shared" si="5"/>
        <v>0.50245610862642565</v>
      </c>
      <c r="I13" s="50">
        <f t="shared" si="5"/>
        <v>0.33503103638086174</v>
      </c>
      <c r="J13" s="50">
        <f t="shared" si="5"/>
        <v>0.26933239301452971</v>
      </c>
      <c r="K13" s="50">
        <f t="shared" si="5"/>
        <v>0.25129518960259389</v>
      </c>
      <c r="L13" s="50">
        <f t="shared" si="5"/>
        <v>0.26933239301452971</v>
      </c>
      <c r="M13" s="50">
        <f t="shared" si="5"/>
        <v>0.33503103638086174</v>
      </c>
      <c r="N13" s="50">
        <f t="shared" si="5"/>
        <v>0.50245610862642565</v>
      </c>
      <c r="O13" s="50">
        <f t="shared" si="5"/>
        <v>1.0043586661896242</v>
      </c>
      <c r="P13" s="50">
        <f t="shared" si="5"/>
        <v>3.7369705850852242</v>
      </c>
      <c r="Q13" s="53" t="str">
        <f t="shared" si="5"/>
        <v/>
      </c>
    </row>
    <row r="14" spans="2:17">
      <c r="B14" s="38"/>
      <c r="C14" s="7"/>
      <c r="D14" s="26" t="s">
        <v>15</v>
      </c>
      <c r="E14" s="51" t="str">
        <f t="shared" ref="E14:Q14" si="6">IF(E11="","",IF(E11=0,0,0.0042513*SIN(RADIANS($F$2))*COS(RADIANS($F$2))*SIN(RADIANS(E7*15))/(SIN(RADIANS($F$1))*SIN(RADIANS($F$2))+COS(RADIANS($F$1))*COS(RADIANS($F$2))*COS(RADIANS(E7*15)))^2)*$F$3)</f>
        <v/>
      </c>
      <c r="F14" s="52">
        <f t="shared" si="6"/>
        <v>-2.57543801607402</v>
      </c>
      <c r="G14" s="52">
        <f t="shared" si="6"/>
        <v>-0.61871466235618611</v>
      </c>
      <c r="H14" s="52">
        <f t="shared" si="6"/>
        <v>-0.25258920319183953</v>
      </c>
      <c r="I14" s="52">
        <f t="shared" si="6"/>
        <v>-0.11907169228763771</v>
      </c>
      <c r="J14" s="52">
        <f t="shared" si="6"/>
        <v>-4.9545984155616986E-2</v>
      </c>
      <c r="K14" s="52">
        <f t="shared" si="6"/>
        <v>0</v>
      </c>
      <c r="L14" s="52">
        <f t="shared" si="6"/>
        <v>4.9545984155617E-2</v>
      </c>
      <c r="M14" s="52">
        <f t="shared" si="6"/>
        <v>0.11907169228763753</v>
      </c>
      <c r="N14" s="52">
        <f t="shared" si="6"/>
        <v>0.25258920319183931</v>
      </c>
      <c r="O14" s="52">
        <f t="shared" si="6"/>
        <v>0.61871466235618611</v>
      </c>
      <c r="P14" s="52">
        <f t="shared" si="6"/>
        <v>2.5754380160740107</v>
      </c>
      <c r="Q14" s="54" t="str">
        <f t="shared" si="6"/>
        <v/>
      </c>
    </row>
    <row r="16" spans="2:17">
      <c r="B16" s="40" t="s">
        <v>37</v>
      </c>
      <c r="C16" s="41" t="s">
        <v>56</v>
      </c>
      <c r="D16" s="45"/>
      <c r="E16" s="42">
        <f>COS(RADIANS($F$1))*SIN(RADIANS(E7*15))</f>
        <v>-1</v>
      </c>
      <c r="F16" s="42">
        <f t="shared" ref="F16:Q16" si="7">COS(RADIANS($F$1))*SIN(RADIANS(F7*15))</f>
        <v>-0.96592582628906842</v>
      </c>
      <c r="G16" s="42">
        <f t="shared" si="7"/>
        <v>-0.8660254037844386</v>
      </c>
      <c r="H16" s="42">
        <f t="shared" si="7"/>
        <v>-0.70710678118654768</v>
      </c>
      <c r="I16" s="42">
        <f t="shared" si="7"/>
        <v>-0.50000000000000044</v>
      </c>
      <c r="J16" s="42">
        <f t="shared" si="7"/>
        <v>-0.25881904510252068</v>
      </c>
      <c r="K16" s="42">
        <f t="shared" si="7"/>
        <v>0</v>
      </c>
      <c r="L16" s="42">
        <f t="shared" si="7"/>
        <v>0.25881904510252074</v>
      </c>
      <c r="M16" s="42">
        <f t="shared" si="7"/>
        <v>0.49999999999999994</v>
      </c>
      <c r="N16" s="42">
        <f t="shared" si="7"/>
        <v>0.70710678118654746</v>
      </c>
      <c r="O16" s="42">
        <f t="shared" si="7"/>
        <v>0.8660254037844386</v>
      </c>
      <c r="P16" s="42">
        <f t="shared" si="7"/>
        <v>0.96592582628906831</v>
      </c>
      <c r="Q16" s="43">
        <f t="shared" si="7"/>
        <v>1</v>
      </c>
    </row>
    <row r="17" spans="2:17">
      <c r="B17" s="44" t="s">
        <v>38</v>
      </c>
      <c r="C17" s="17" t="s">
        <v>57</v>
      </c>
      <c r="D17" s="24"/>
      <c r="E17" s="36">
        <f>-COS(RADIANS($F$2))*SIN(RADIANS($F$1))+SIN(RADIANS($F$2))*COS(RADIANS($F$1))*COS(RADIANS(E7*15))</f>
        <v>-1.0540744271512147E-16</v>
      </c>
      <c r="F17" s="36">
        <f t="shared" ref="F17:Q17" si="8">-COS(RADIANS($F$2))*SIN(RADIANS($F$1))+SIN(RADIANS($F$2))*COS(RADIANS($F$1))*COS(RADIANS(F7*15))</f>
        <v>0.14845250554968425</v>
      </c>
      <c r="G17" s="36">
        <f t="shared" si="8"/>
        <v>0.28678821817552308</v>
      </c>
      <c r="H17" s="36">
        <f t="shared" si="8"/>
        <v>0.40557978767263875</v>
      </c>
      <c r="I17" s="36">
        <f t="shared" si="8"/>
        <v>0.49673176489215387</v>
      </c>
      <c r="J17" s="36">
        <f t="shared" si="8"/>
        <v>0.55403229322232339</v>
      </c>
      <c r="K17" s="36">
        <f t="shared" si="8"/>
        <v>0.57357643635104605</v>
      </c>
      <c r="L17" s="36">
        <f t="shared" si="8"/>
        <v>0.55403229322232339</v>
      </c>
      <c r="M17" s="36">
        <f t="shared" si="8"/>
        <v>0.49673176489215404</v>
      </c>
      <c r="N17" s="36">
        <f t="shared" si="8"/>
        <v>0.40557978767263886</v>
      </c>
      <c r="O17" s="36">
        <f t="shared" si="8"/>
        <v>0.28678821817552308</v>
      </c>
      <c r="P17" s="36">
        <f t="shared" si="8"/>
        <v>0.1484525055496845</v>
      </c>
      <c r="Q17" s="37">
        <f t="shared" si="8"/>
        <v>3.5135814238373825E-17</v>
      </c>
    </row>
    <row r="18" spans="2:17">
      <c r="B18" s="44" t="s">
        <v>39</v>
      </c>
      <c r="C18" s="17" t="s">
        <v>58</v>
      </c>
      <c r="D18" s="24"/>
      <c r="E18" s="36">
        <f t="shared" ref="E18:Q18" si="9">SIN(RADIANS($F$1))*SIN(RADIANS($F$2))+COS(RADIANS($F$1))*COS(RADIANS($F$2))*COS(RADIANS(E7*15))</f>
        <v>-1.5053742920938437E-16</v>
      </c>
      <c r="F18" s="36">
        <f t="shared" si="9"/>
        <v>0.21201214989665426</v>
      </c>
      <c r="G18" s="36">
        <f t="shared" si="9"/>
        <v>0.40957602214449601</v>
      </c>
      <c r="H18" s="36">
        <f t="shared" si="9"/>
        <v>0.57922796533956911</v>
      </c>
      <c r="I18" s="36">
        <f t="shared" si="9"/>
        <v>0.7094064799162223</v>
      </c>
      <c r="J18" s="36">
        <f t="shared" si="9"/>
        <v>0.79124011523622384</v>
      </c>
      <c r="K18" s="36">
        <f t="shared" si="9"/>
        <v>0.8191520442889918</v>
      </c>
      <c r="L18" s="36">
        <f t="shared" si="9"/>
        <v>0.79124011523622384</v>
      </c>
      <c r="M18" s="36">
        <f t="shared" si="9"/>
        <v>0.70940647991622252</v>
      </c>
      <c r="N18" s="36">
        <f t="shared" si="9"/>
        <v>0.57922796533956922</v>
      </c>
      <c r="O18" s="36">
        <f t="shared" si="9"/>
        <v>0.40957602214449601</v>
      </c>
      <c r="P18" s="36">
        <f t="shared" si="9"/>
        <v>0.21201214989665462</v>
      </c>
      <c r="Q18" s="37">
        <f t="shared" si="9"/>
        <v>5.0179143069794789E-17</v>
      </c>
    </row>
    <row r="19" spans="2:17">
      <c r="B19" s="38" t="s">
        <v>42</v>
      </c>
      <c r="C19" s="7" t="s">
        <v>40</v>
      </c>
      <c r="D19" s="26"/>
      <c r="E19" s="46" t="str">
        <f>IF(E18&lt;0,"na",IF(E18=1,0,DEGREES(ATAN(E16/E17))))</f>
        <v>na</v>
      </c>
      <c r="F19" s="46">
        <f t="shared" ref="F19:Q19" si="10">IF(F18&lt;0,"na",IF(F18=1,0,DEGREES(ATAN(F16/F17))))</f>
        <v>-81.262614812084863</v>
      </c>
      <c r="G19" s="46">
        <f t="shared" si="10"/>
        <v>-71.677478167328047</v>
      </c>
      <c r="H19" s="46">
        <f t="shared" si="10"/>
        <v>-60.162433521686218</v>
      </c>
      <c r="I19" s="46">
        <f t="shared" si="10"/>
        <v>-45.187869408440783</v>
      </c>
      <c r="J19" s="46">
        <f t="shared" si="10"/>
        <v>-25.039872563775944</v>
      </c>
      <c r="K19" s="46">
        <f t="shared" si="10"/>
        <v>0</v>
      </c>
      <c r="L19" s="46">
        <f t="shared" si="10"/>
        <v>25.039872563775948</v>
      </c>
      <c r="M19" s="46">
        <f t="shared" si="10"/>
        <v>45.18786940844074</v>
      </c>
      <c r="N19" s="46">
        <f t="shared" si="10"/>
        <v>60.162433521686211</v>
      </c>
      <c r="O19" s="46">
        <f t="shared" si="10"/>
        <v>71.677478167328047</v>
      </c>
      <c r="P19" s="46">
        <f t="shared" si="10"/>
        <v>81.262614812084834</v>
      </c>
      <c r="Q19" s="47">
        <f t="shared" si="10"/>
        <v>90</v>
      </c>
    </row>
  </sheetData>
  <phoneticPr fontId="3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1" sqref="E1"/>
    </sheetView>
  </sheetViews>
  <sheetFormatPr defaultRowHeight="13.5"/>
  <sheetData>
    <row r="1" spans="1:15">
      <c r="A1" t="s">
        <v>2</v>
      </c>
      <c r="B1" t="s">
        <v>3</v>
      </c>
      <c r="D1" t="s">
        <v>4</v>
      </c>
      <c r="E1" s="2">
        <v>0</v>
      </c>
      <c r="F1" t="s">
        <v>7</v>
      </c>
      <c r="I1" s="15" t="s">
        <v>34</v>
      </c>
      <c r="J1" t="s">
        <v>52</v>
      </c>
      <c r="K1" s="8"/>
      <c r="N1" s="10">
        <f>COS(RADIANS(E2))*SIN(RADIANS(E1*15))</f>
        <v>0</v>
      </c>
    </row>
    <row r="2" spans="1:15">
      <c r="A2" t="s">
        <v>16</v>
      </c>
      <c r="B2" s="1" t="s">
        <v>6</v>
      </c>
      <c r="D2" t="s">
        <v>5</v>
      </c>
      <c r="E2" s="2">
        <v>0</v>
      </c>
      <c r="F2" t="str">
        <f>"°("&amp;TEXT(90-E10,"#")&amp;"°入力で天頂)"</f>
        <v>°(35°入力で天頂)</v>
      </c>
      <c r="I2" s="15" t="s">
        <v>35</v>
      </c>
      <c r="J2" s="16" t="s">
        <v>53</v>
      </c>
      <c r="K2" s="9"/>
      <c r="N2" s="10">
        <f>-COS(RADIANS(E3))*SIN(RADIANS(E2))+SIN(RADIANS(E3))*COS(RADIANS(E2))*COS(RADIANS(E1*15))</f>
        <v>0.57357643635104605</v>
      </c>
    </row>
    <row r="3" spans="1:15">
      <c r="A3" t="s">
        <v>0</v>
      </c>
      <c r="B3" t="s">
        <v>1</v>
      </c>
      <c r="E3" s="3">
        <v>35</v>
      </c>
      <c r="F3" t="s">
        <v>8</v>
      </c>
      <c r="I3" s="15" t="s">
        <v>36</v>
      </c>
      <c r="J3" t="s">
        <v>54</v>
      </c>
      <c r="K3" s="9"/>
      <c r="N3" s="10">
        <f>SIN(RADIANS(E2))*SIN(RADIANS(E3))+COS(RADIANS(E2))*COS(RADIANS(E3))*COS(RADIANS(E1*15))</f>
        <v>0.8191520442889918</v>
      </c>
    </row>
    <row r="4" spans="1:15">
      <c r="A4" t="s">
        <v>11</v>
      </c>
      <c r="B4" t="s">
        <v>12</v>
      </c>
      <c r="E4" s="2">
        <v>60</v>
      </c>
      <c r="F4" t="s">
        <v>9</v>
      </c>
    </row>
    <row r="5" spans="1:15">
      <c r="I5" s="13" t="s">
        <v>24</v>
      </c>
      <c r="J5" s="9" t="s">
        <v>25</v>
      </c>
      <c r="N5" s="11">
        <f>IF(N3&lt;0,"na",IF(N3=1,0,DEGREES(ATAN(N1/N2))))</f>
        <v>0</v>
      </c>
      <c r="O5" s="9" t="s">
        <v>23</v>
      </c>
    </row>
    <row r="6" spans="1:15">
      <c r="B6" t="s">
        <v>26</v>
      </c>
      <c r="C6" t="s">
        <v>13</v>
      </c>
      <c r="D6" t="s">
        <v>14</v>
      </c>
      <c r="E6" s="7">
        <f>86164.09+24*(COS(RADIANS(E3))/COS(RADIANS(E2))*((COS(RADIANS(E3))*COS(RADIANS(E2))+SIN(RADIANS(E3))*SIN(RADIANS(E2))*COS(RADIANS(0-E1)*15))/(SIN(RADIANS(E3))*SIN(RADIANS(E2))+COS(RADIANS(E3))*COS(RADIANS(E2))*COS(RADIANS(0-E1)*15))^2)-_xlfn.COT(RADIANS(E3))*TAN(RADIANS(E2))*COS(RADIANS(0-E1)*15))</f>
        <v>86188.09</v>
      </c>
      <c r="F6" t="s">
        <v>9</v>
      </c>
    </row>
    <row r="7" spans="1:15">
      <c r="E7" s="6" t="s">
        <v>10</v>
      </c>
    </row>
    <row r="8" spans="1:15">
      <c r="E8" s="14">
        <f>((360+360/365.2422)/(24*60*60)*60^2-360/E6*60^2)*E4</f>
        <v>0.25129518960259389</v>
      </c>
      <c r="F8" s="5" t="s">
        <v>32</v>
      </c>
    </row>
    <row r="10" spans="1:15">
      <c r="A10" t="s">
        <v>7</v>
      </c>
      <c r="C10" t="s">
        <v>59</v>
      </c>
      <c r="E10" s="12">
        <f>IF(N3&lt;0.07,"na",IF(AND(N1=0,N2=0,N3=1),90,ABS(DEGREES(ATAN(N3/(N2/COS(RADIANS(N5))))))))</f>
        <v>55</v>
      </c>
      <c r="F10" t="s">
        <v>8</v>
      </c>
    </row>
    <row r="12" spans="1:15">
      <c r="A12" t="s">
        <v>18</v>
      </c>
      <c r="B12" t="s">
        <v>27</v>
      </c>
      <c r="C12" t="s">
        <v>17</v>
      </c>
      <c r="E12" s="4">
        <f>58.3*1/TAN(RADIANS(E10))</f>
        <v>40.822099477626082</v>
      </c>
      <c r="F12" t="s">
        <v>20</v>
      </c>
    </row>
    <row r="13" spans="1:15">
      <c r="B13" t="s">
        <v>28</v>
      </c>
      <c r="D13" t="s">
        <v>21</v>
      </c>
      <c r="E13">
        <f>58.3*(SIN(RADIANS(E1*15))*COS(RADIANS(E3))/SIN(RADIANS(E10)))</f>
        <v>0</v>
      </c>
      <c r="F13" t="s">
        <v>20</v>
      </c>
    </row>
    <row r="14" spans="1:15">
      <c r="B14" t="s">
        <v>29</v>
      </c>
      <c r="D14" t="s">
        <v>22</v>
      </c>
      <c r="E14">
        <f>58.3*(SIN(RADIANS(E3))/(SIN(RADIANS(E10))*COS(RADIANS(E2)))-TAN(RADIANS(E2)))</f>
        <v>40.822099477626075</v>
      </c>
      <c r="F14" t="s">
        <v>20</v>
      </c>
    </row>
    <row r="16" spans="1:15">
      <c r="C16" t="s">
        <v>19</v>
      </c>
    </row>
    <row r="17" spans="2:6">
      <c r="B17" t="s">
        <v>30</v>
      </c>
      <c r="D17" t="s">
        <v>14</v>
      </c>
      <c r="E17" s="4">
        <f>IF(E14=0,0,-0.0042513*(SIN(RADIANS(E2))*SIN(RADIANS(E3))*COS(RADIANS(E3))*COS(RADIANS(E1*15))+COS(RADIANS(E2))*COS(RADIANS(E3))^2)/(SIN(RADIANS(E2))*SIN(RADIANS(E3))+COS(RADIANS(E2))*COS(RADIANS(E3))*COS(RADIANS(E1*15)))^2)*E4*-1</f>
        <v>0.25507800000000003</v>
      </c>
      <c r="F17" s="5" t="s">
        <v>33</v>
      </c>
    </row>
    <row r="18" spans="2:6">
      <c r="B18" t="s">
        <v>31</v>
      </c>
      <c r="D18" t="s">
        <v>15</v>
      </c>
      <c r="E18" s="14">
        <f>IF(E13=0,0,0.0042513*SIN(RADIANS(E3))*COS(RADIANS(E3))*SIN(RADIANS(E1*15))/(SIN(RADIANS(E2))*SIN(RADIANS(E3))+COS(RADIANS(E2))*COS(RADIANS(E3))*COS(RADIANS(E1*15)))^2)*E4</f>
        <v>0</v>
      </c>
      <c r="F18" s="5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hryk</dc:creator>
  <cp:lastModifiedBy>hryk</cp:lastModifiedBy>
  <dcterms:created xsi:type="dcterms:W3CDTF">2019-02-11T08:06:18Z</dcterms:created>
  <dcterms:modified xsi:type="dcterms:W3CDTF">2020-12-16T15:38:49Z</dcterms:modified>
</cp:coreProperties>
</file>