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ryk\Desktop\"/>
    </mc:Choice>
  </mc:AlternateContent>
  <bookViews>
    <workbookView xWindow="480" yWindow="30" windowWidth="8475" windowHeight="472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4" i="2" l="1"/>
  <c r="H3" i="1" l="1"/>
  <c r="I2" i="2" l="1"/>
  <c r="J1" i="1"/>
  <c r="P15" i="1" l="1"/>
  <c r="O15" i="1"/>
  <c r="N15" i="1"/>
  <c r="M15" i="1"/>
  <c r="L15" i="1"/>
  <c r="K15" i="1"/>
  <c r="J15" i="1"/>
  <c r="I15" i="1"/>
  <c r="H15" i="1"/>
  <c r="G15" i="1"/>
  <c r="F15" i="1"/>
  <c r="E15" i="1"/>
  <c r="D15" i="1"/>
  <c r="I24" i="2" l="1"/>
  <c r="G12" i="2" l="1"/>
  <c r="I12" i="2" s="1"/>
  <c r="G6" i="2"/>
  <c r="I6" i="2" s="1"/>
  <c r="I4" i="2"/>
  <c r="J3" i="1"/>
  <c r="H5" i="1"/>
  <c r="J5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I12" i="1" l="1"/>
  <c r="D13" i="1"/>
  <c r="P12" i="1"/>
  <c r="K13" i="1"/>
  <c r="F12" i="1"/>
  <c r="L12" i="1"/>
  <c r="J12" i="1"/>
  <c r="E12" i="1"/>
  <c r="N13" i="1"/>
  <c r="N12" i="1"/>
  <c r="L13" i="1"/>
  <c r="G12" i="1"/>
  <c r="H13" i="1"/>
  <c r="O13" i="1"/>
  <c r="H12" i="1"/>
  <c r="F13" i="1"/>
  <c r="D12" i="1"/>
  <c r="J13" i="1"/>
  <c r="O12" i="1"/>
  <c r="M12" i="1"/>
  <c r="K12" i="1"/>
  <c r="I13" i="1"/>
  <c r="G13" i="1"/>
  <c r="E13" i="1"/>
  <c r="E14" i="1" s="1"/>
  <c r="P13" i="1"/>
  <c r="M13" i="1"/>
  <c r="G10" i="2"/>
  <c r="I10" i="2" s="1"/>
  <c r="G16" i="2"/>
  <c r="L14" i="1" l="1"/>
  <c r="G14" i="1"/>
  <c r="M14" i="1"/>
  <c r="I14" i="1"/>
  <c r="D14" i="1"/>
  <c r="J14" i="1"/>
  <c r="O14" i="1"/>
  <c r="P14" i="1"/>
  <c r="H14" i="1"/>
  <c r="N14" i="1"/>
  <c r="F14" i="1"/>
  <c r="K14" i="1"/>
  <c r="I16" i="2"/>
  <c r="G21" i="2"/>
  <c r="G22" i="2" s="1"/>
  <c r="I22" i="2" s="1"/>
</calcChain>
</file>

<file path=xl/sharedStrings.xml><?xml version="1.0" encoding="utf-8"?>
<sst xmlns="http://schemas.openxmlformats.org/spreadsheetml/2006/main" count="114" uniqueCount="65">
  <si>
    <t>H</t>
  </si>
  <si>
    <t>h</t>
    <phoneticPr fontId="2"/>
  </si>
  <si>
    <t>(E)</t>
    <phoneticPr fontId="2"/>
  </si>
  <si>
    <t>(S)</t>
    <phoneticPr fontId="2"/>
  </si>
  <si>
    <t>(W)</t>
    <phoneticPr fontId="2"/>
  </si>
  <si>
    <t>δ</t>
  </si>
  <si>
    <t>)</t>
    <phoneticPr fontId="2"/>
  </si>
  <si>
    <t>Hp</t>
  </si>
  <si>
    <t>h</t>
    <phoneticPr fontId="2"/>
  </si>
  <si>
    <t>εp</t>
    <phoneticPr fontId="2"/>
  </si>
  <si>
    <t>)</t>
    <phoneticPr fontId="2"/>
  </si>
  <si>
    <t>赤経</t>
    <rPh sb="0" eb="1">
      <t>セキ</t>
    </rPh>
    <rPh sb="1" eb="2">
      <t>ケイ</t>
    </rPh>
    <phoneticPr fontId="2"/>
  </si>
  <si>
    <t>t</t>
    <phoneticPr fontId="2"/>
  </si>
  <si>
    <t>追尾時間</t>
    <phoneticPr fontId="2"/>
  </si>
  <si>
    <t>min</t>
    <phoneticPr fontId="2"/>
  </si>
  <si>
    <t>赤緯</t>
    <rPh sb="0" eb="2">
      <t>セキイ</t>
    </rPh>
    <phoneticPr fontId="2"/>
  </si>
  <si>
    <t>移動量</t>
    <rPh sb="0" eb="2">
      <t>イドウ</t>
    </rPh>
    <rPh sb="2" eb="3">
      <t>リョウ</t>
    </rPh>
    <phoneticPr fontId="2"/>
  </si>
  <si>
    <t>▼赤経方向(RA)のズレ</t>
    <phoneticPr fontId="2"/>
  </si>
  <si>
    <t>=εp tanδ(sin(H`+t)-sin(H`))</t>
  </si>
  <si>
    <t>H`</t>
    <phoneticPr fontId="2"/>
  </si>
  <si>
    <t>=H-Hp</t>
    <phoneticPr fontId="2"/>
  </si>
  <si>
    <t>▼赤緯方向(Dec)のズレ</t>
    <phoneticPr fontId="2"/>
  </si>
  <si>
    <t>=εp(cos(H`+t)-cos(H`))</t>
  </si>
  <si>
    <t>※全体の追尾誤差</t>
    <rPh sb="1" eb="3">
      <t>ゼンタイ</t>
    </rPh>
    <rPh sb="4" eb="6">
      <t>ツイビ</t>
    </rPh>
    <rPh sb="6" eb="8">
      <t>ゴサ</t>
    </rPh>
    <phoneticPr fontId="2"/>
  </si>
  <si>
    <t>レンズ焦点距離</t>
    <rPh sb="3" eb="5">
      <t>ショウテン</t>
    </rPh>
    <rPh sb="5" eb="7">
      <t>キョリ</t>
    </rPh>
    <phoneticPr fontId="2"/>
  </si>
  <si>
    <t>mm</t>
    <phoneticPr fontId="2"/>
  </si>
  <si>
    <t>°      (</t>
    <phoneticPr fontId="2"/>
  </si>
  <si>
    <t>°      (</t>
    <phoneticPr fontId="2"/>
  </si>
  <si>
    <t>設置
誤差</t>
    <phoneticPr fontId="2"/>
  </si>
  <si>
    <t>方角</t>
  </si>
  <si>
    <t>時角</t>
  </si>
  <si>
    <t>H'</t>
  </si>
  <si>
    <t>全体</t>
  </si>
  <si>
    <t>極軸設置誤差</t>
    <rPh sb="0" eb="2">
      <t>キョクジク</t>
    </rPh>
    <rPh sb="2" eb="4">
      <t>セッチ</t>
    </rPh>
    <rPh sb="4" eb="6">
      <t>ゴサ</t>
    </rPh>
    <phoneticPr fontId="2"/>
  </si>
  <si>
    <t>⊿H</t>
    <phoneticPr fontId="2"/>
  </si>
  <si>
    <t>⊿δ</t>
    <phoneticPr fontId="2"/>
  </si>
  <si>
    <t>cos⊿ε</t>
    <phoneticPr fontId="2"/>
  </si>
  <si>
    <t>=sinδsin(δ+⊿δ)+cosδcos(δ+⊿δ)cos⊿H</t>
    <phoneticPr fontId="2"/>
  </si>
  <si>
    <t>°          (</t>
    <phoneticPr fontId="2"/>
  </si>
  <si>
    <t>移動量</t>
    <rPh sb="0" eb="2">
      <t>イドウ</t>
    </rPh>
    <rPh sb="2" eb="3">
      <t>リョウ</t>
    </rPh>
    <phoneticPr fontId="2"/>
  </si>
  <si>
    <t>°-----&gt;</t>
  </si>
  <si>
    <t>"</t>
    <phoneticPr fontId="2"/>
  </si>
  <si>
    <t>※全体の追尾誤差</t>
    <rPh sb="1" eb="3">
      <t>ゼンタイ</t>
    </rPh>
    <rPh sb="4" eb="6">
      <t>ツイビ</t>
    </rPh>
    <rPh sb="6" eb="8">
      <t>ゴサ</t>
    </rPh>
    <phoneticPr fontId="2"/>
  </si>
  <si>
    <t>"</t>
    <phoneticPr fontId="2"/>
  </si>
  <si>
    <t>f=</t>
    <phoneticPr fontId="2"/>
  </si>
  <si>
    <t>㎜-----&gt;</t>
    <phoneticPr fontId="2"/>
  </si>
  <si>
    <t>μm</t>
    <phoneticPr fontId="2"/>
  </si>
  <si>
    <t>A(")</t>
    <phoneticPr fontId="2"/>
  </si>
  <si>
    <t>L(μm)</t>
    <phoneticPr fontId="2"/>
  </si>
  <si>
    <t>〃</t>
  </si>
  <si>
    <t>追尾する天体の位置</t>
    <phoneticPr fontId="2"/>
  </si>
  <si>
    <t>〃</t>
    <phoneticPr fontId="2"/>
  </si>
  <si>
    <t>(時角)</t>
    <phoneticPr fontId="2"/>
  </si>
  <si>
    <t>(赤緯)</t>
    <rPh sb="1" eb="3">
      <t>セキイ</t>
    </rPh>
    <phoneticPr fontId="2"/>
  </si>
  <si>
    <t>(角度)</t>
    <rPh sb="1" eb="3">
      <t>カクド</t>
    </rPh>
    <phoneticPr fontId="2"/>
  </si>
  <si>
    <t>▼[星と赤道儀の位置関係] - 赤経方向は速度</t>
  </si>
  <si>
    <t xml:space="preserve">  ・赤経(マイナス(赤))</t>
  </si>
  <si>
    <t>日周運動より赤道儀の動きが遅い</t>
  </si>
  <si>
    <t xml:space="preserve">  ・赤緯(マイナス(赤))</t>
  </si>
  <si>
    <t>赤道儀の円周方向の軌跡が星より上側(北方向)</t>
  </si>
  <si>
    <t>日周運動より赤道儀の動きが遅い</t>
    <rPh sb="13" eb="14">
      <t>オソ</t>
    </rPh>
    <phoneticPr fontId="2"/>
  </si>
  <si>
    <t>(</t>
    <phoneticPr fontId="2"/>
  </si>
  <si>
    <t>)</t>
    <phoneticPr fontId="2"/>
  </si>
  <si>
    <t>追尾する天体の位置</t>
  </si>
  <si>
    <t>▼[星と赤道儀の位置関係(南向き正立)] - 赤経方向は速度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</si>
</sst>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[Red]0.0"/>
    <numFmt numFmtId="177" formatCode="0;[Red]0"/>
    <numFmt numFmtId="178" formatCode="0.000;[Red]0.000"/>
    <numFmt numFmtId="179" formatCode="0.0;[Red]\-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CC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0" fillId="2" borderId="0" xfId="0" applyFill="1"/>
    <xf numFmtId="0" fontId="0" fillId="0" borderId="1" xfId="0" applyBorder="1"/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right"/>
    </xf>
    <xf numFmtId="0" fontId="1" fillId="0" borderId="0" xfId="0" applyFont="1"/>
    <xf numFmtId="0" fontId="0" fillId="0" borderId="0" xfId="0" quotePrefix="1"/>
    <xf numFmtId="0" fontId="0" fillId="0" borderId="0" xfId="0" applyFill="1"/>
    <xf numFmtId="0" fontId="0" fillId="0" borderId="0" xfId="0" quotePrefix="1" applyFill="1"/>
    <xf numFmtId="0" fontId="0" fillId="0" borderId="0" xfId="0" applyAlignment="1">
      <alignment horizontal="right"/>
    </xf>
    <xf numFmtId="177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2" borderId="0" xfId="0" applyFont="1" applyFill="1"/>
    <xf numFmtId="0" fontId="0" fillId="5" borderId="0" xfId="0" applyFill="1"/>
    <xf numFmtId="0" fontId="0" fillId="0" borderId="0" xfId="0" quotePrefix="1" applyFont="1"/>
    <xf numFmtId="0" fontId="5" fillId="0" borderId="0" xfId="0" applyFont="1" applyFill="1"/>
    <xf numFmtId="0" fontId="5" fillId="0" borderId="0" xfId="0" applyFont="1"/>
    <xf numFmtId="0" fontId="5" fillId="0" borderId="0" xfId="0" quotePrefix="1" applyFont="1"/>
    <xf numFmtId="178" fontId="0" fillId="4" borderId="11" xfId="0" applyNumberFormat="1" applyFill="1" applyBorder="1"/>
    <xf numFmtId="178" fontId="5" fillId="4" borderId="11" xfId="0" applyNumberFormat="1" applyFont="1" applyFill="1" applyBorder="1"/>
    <xf numFmtId="176" fontId="0" fillId="0" borderId="11" xfId="0" applyNumberFormat="1" applyBorder="1"/>
    <xf numFmtId="0" fontId="0" fillId="0" borderId="1" xfId="0" applyFont="1" applyBorder="1"/>
    <xf numFmtId="0" fontId="0" fillId="0" borderId="0" xfId="0" applyAlignment="1"/>
    <xf numFmtId="179" fontId="0" fillId="0" borderId="0" xfId="0" quotePrefix="1" applyNumberFormat="1" applyFill="1" applyBorder="1"/>
    <xf numFmtId="179" fontId="0" fillId="0" borderId="0" xfId="0" applyNumberFormat="1" applyFill="1" applyBorder="1"/>
    <xf numFmtId="179" fontId="0" fillId="0" borderId="1" xfId="0" applyNumberFormat="1" applyFill="1" applyBorder="1"/>
    <xf numFmtId="0" fontId="0" fillId="6" borderId="0" xfId="0" applyFill="1" applyBorder="1"/>
    <xf numFmtId="0" fontId="0" fillId="6" borderId="1" xfId="0" applyFill="1" applyBorder="1"/>
    <xf numFmtId="0" fontId="0" fillId="0" borderId="12" xfId="0" applyBorder="1"/>
    <xf numFmtId="179" fontId="0" fillId="0" borderId="8" xfId="0" applyNumberFormat="1" applyFill="1" applyBorder="1"/>
    <xf numFmtId="179" fontId="0" fillId="0" borderId="3" xfId="0" applyNumberFormat="1" applyFill="1" applyBorder="1"/>
    <xf numFmtId="179" fontId="0" fillId="0" borderId="2" xfId="0" applyNumberFormat="1" applyFill="1" applyBorder="1"/>
    <xf numFmtId="176" fontId="1" fillId="7" borderId="0" xfId="0" applyNumberFormat="1" applyFont="1" applyFill="1" applyBorder="1"/>
    <xf numFmtId="176" fontId="1" fillId="7" borderId="1" xfId="0" applyNumberFormat="1" applyFont="1" applyFill="1" applyBorder="1"/>
    <xf numFmtId="176" fontId="1" fillId="7" borderId="3" xfId="0" applyNumberFormat="1" applyFont="1" applyFill="1" applyBorder="1"/>
    <xf numFmtId="176" fontId="1" fillId="7" borderId="2" xfId="0" applyNumberFormat="1" applyFont="1" applyFill="1" applyBorder="1"/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">
    <cellStyle name="標準" xfId="0" builtinId="0"/>
  </cellStyles>
  <dxfs count="1">
    <dxf>
      <font>
        <condense val="0"/>
        <extend val="0"/>
        <color indexed="60"/>
      </font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H1" sqref="H1"/>
    </sheetView>
  </sheetViews>
  <sheetFormatPr defaultRowHeight="13.5"/>
  <cols>
    <col min="1" max="1" width="4.625" customWidth="1"/>
    <col min="2" max="16" width="6.625" customWidth="1"/>
    <col min="17" max="17" width="1.625" customWidth="1"/>
  </cols>
  <sheetData>
    <row r="1" spans="1:17">
      <c r="A1" s="1" t="s">
        <v>5</v>
      </c>
      <c r="B1" s="33" t="s">
        <v>63</v>
      </c>
      <c r="E1" t="s">
        <v>53</v>
      </c>
      <c r="H1" s="24">
        <v>0</v>
      </c>
      <c r="I1" t="s">
        <v>26</v>
      </c>
      <c r="J1">
        <f>SIN(RADIANS(90-H1))</f>
        <v>1</v>
      </c>
      <c r="K1" t="s">
        <v>6</v>
      </c>
    </row>
    <row r="2" spans="1:17">
      <c r="A2" s="1" t="s">
        <v>7</v>
      </c>
      <c r="B2" t="s">
        <v>33</v>
      </c>
      <c r="E2" t="s">
        <v>52</v>
      </c>
      <c r="H2" s="2">
        <v>0</v>
      </c>
      <c r="I2" t="s">
        <v>8</v>
      </c>
    </row>
    <row r="3" spans="1:17">
      <c r="A3" s="1" t="s">
        <v>9</v>
      </c>
      <c r="B3" s="4" t="s">
        <v>49</v>
      </c>
      <c r="E3" t="s">
        <v>54</v>
      </c>
      <c r="H3" s="2">
        <f>1/60*1.5</f>
        <v>2.5000000000000001E-2</v>
      </c>
      <c r="I3" t="s">
        <v>27</v>
      </c>
      <c r="J3">
        <f>RADIANS(H3)</f>
        <v>4.363323129985824E-4</v>
      </c>
      <c r="K3" t="s">
        <v>10</v>
      </c>
    </row>
    <row r="4" spans="1:17">
      <c r="A4" s="1" t="s">
        <v>12</v>
      </c>
      <c r="B4" t="s">
        <v>13</v>
      </c>
      <c r="H4" s="2">
        <v>4</v>
      </c>
      <c r="I4" t="s">
        <v>14</v>
      </c>
    </row>
    <row r="5" spans="1:17">
      <c r="B5" t="s">
        <v>16</v>
      </c>
      <c r="H5">
        <f>15/60*H4</f>
        <v>1</v>
      </c>
      <c r="I5" t="s">
        <v>27</v>
      </c>
      <c r="J5">
        <f>RADIANS(H5)</f>
        <v>1.7453292519943295E-2</v>
      </c>
      <c r="K5" t="s">
        <v>10</v>
      </c>
    </row>
    <row r="6" spans="1:17">
      <c r="B6" t="s">
        <v>24</v>
      </c>
      <c r="H6" s="23"/>
      <c r="I6" t="s">
        <v>25</v>
      </c>
      <c r="J6" s="10"/>
    </row>
    <row r="7" spans="1:17">
      <c r="D7" s="15"/>
    </row>
    <row r="8" spans="1:17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>
      <c r="B9" s="16" t="s">
        <v>29</v>
      </c>
      <c r="C9" s="17"/>
      <c r="D9" s="18" t="s">
        <v>2</v>
      </c>
      <c r="E9" s="19"/>
      <c r="F9" s="19"/>
      <c r="G9" s="19"/>
      <c r="H9" s="19"/>
      <c r="I9" s="19"/>
      <c r="J9" s="18" t="s">
        <v>3</v>
      </c>
      <c r="K9" s="19"/>
      <c r="L9" s="19"/>
      <c r="M9" s="19"/>
      <c r="N9" s="19"/>
      <c r="O9" s="19"/>
      <c r="P9" s="20" t="s">
        <v>4</v>
      </c>
    </row>
    <row r="10" spans="1:17">
      <c r="B10" s="21" t="s">
        <v>30</v>
      </c>
      <c r="C10" s="3"/>
      <c r="D10" s="37">
        <v>18</v>
      </c>
      <c r="E10" s="37">
        <v>19</v>
      </c>
      <c r="F10" s="37">
        <v>20</v>
      </c>
      <c r="G10" s="37">
        <v>21</v>
      </c>
      <c r="H10" s="37">
        <v>22</v>
      </c>
      <c r="I10" s="37">
        <v>23</v>
      </c>
      <c r="J10" s="37">
        <v>0</v>
      </c>
      <c r="K10" s="37">
        <v>1</v>
      </c>
      <c r="L10" s="37">
        <v>2</v>
      </c>
      <c r="M10" s="37">
        <v>3</v>
      </c>
      <c r="N10" s="37">
        <v>4</v>
      </c>
      <c r="O10" s="37">
        <v>5</v>
      </c>
      <c r="P10" s="38">
        <v>6</v>
      </c>
    </row>
    <row r="11" spans="1:17">
      <c r="A11" s="6"/>
      <c r="B11" s="22" t="s">
        <v>31</v>
      </c>
      <c r="C11" s="7"/>
      <c r="D11" s="8">
        <f t="shared" ref="D11:P11" si="0">RADIANS(D10-$H$2)*15</f>
        <v>4.7123889803846897</v>
      </c>
      <c r="E11" s="8">
        <f t="shared" si="0"/>
        <v>4.9741883681838397</v>
      </c>
      <c r="F11" s="8">
        <f t="shared" si="0"/>
        <v>5.2359877559829888</v>
      </c>
      <c r="G11" s="8">
        <f t="shared" si="0"/>
        <v>5.497787143782138</v>
      </c>
      <c r="H11" s="8">
        <f t="shared" si="0"/>
        <v>5.7595865315812871</v>
      </c>
      <c r="I11" s="8">
        <f t="shared" si="0"/>
        <v>6.0213859193804371</v>
      </c>
      <c r="J11" s="8">
        <f t="shared" si="0"/>
        <v>0</v>
      </c>
      <c r="K11" s="8">
        <f t="shared" si="0"/>
        <v>0.26179938779914941</v>
      </c>
      <c r="L11" s="8">
        <f t="shared" si="0"/>
        <v>0.52359877559829882</v>
      </c>
      <c r="M11" s="8">
        <f t="shared" si="0"/>
        <v>0.78539816339744839</v>
      </c>
      <c r="N11" s="8">
        <f t="shared" si="0"/>
        <v>1.0471975511965976</v>
      </c>
      <c r="O11" s="8">
        <f t="shared" si="0"/>
        <v>1.3089969389957472</v>
      </c>
      <c r="P11" s="7">
        <f t="shared" si="0"/>
        <v>1.5707963267948968</v>
      </c>
    </row>
    <row r="12" spans="1:17">
      <c r="A12" s="6"/>
      <c r="B12" s="47" t="s">
        <v>28</v>
      </c>
      <c r="C12" s="3" t="s">
        <v>11</v>
      </c>
      <c r="D12" s="34">
        <f>ROUND(DEGREES($J$3*TAN($J$1)*(SIN(D11+$J$5)-SIN(D11)))*60^2,1)</f>
        <v>0</v>
      </c>
      <c r="E12" s="35">
        <f t="shared" ref="E12:P12" si="1">ROUND(DEGREES($J$3*TAN($J$1)*(SIN(E11+$J$5)-SIN(E11)))*60^2,1)</f>
        <v>0.7</v>
      </c>
      <c r="F12" s="35">
        <f t="shared" si="1"/>
        <v>1.2</v>
      </c>
      <c r="G12" s="35">
        <f t="shared" si="1"/>
        <v>1.7</v>
      </c>
      <c r="H12" s="35">
        <f t="shared" si="1"/>
        <v>2.1</v>
      </c>
      <c r="I12" s="35">
        <f t="shared" si="1"/>
        <v>2.4</v>
      </c>
      <c r="J12" s="35">
        <f t="shared" si="1"/>
        <v>2.4</v>
      </c>
      <c r="K12" s="35">
        <f t="shared" si="1"/>
        <v>2.4</v>
      </c>
      <c r="L12" s="35">
        <f t="shared" si="1"/>
        <v>2.1</v>
      </c>
      <c r="M12" s="35">
        <f t="shared" si="1"/>
        <v>1.7</v>
      </c>
      <c r="N12" s="35">
        <f t="shared" si="1"/>
        <v>1.2</v>
      </c>
      <c r="O12" s="35">
        <f t="shared" si="1"/>
        <v>0.6</v>
      </c>
      <c r="P12" s="36">
        <f t="shared" si="1"/>
        <v>0</v>
      </c>
    </row>
    <row r="13" spans="1:17">
      <c r="A13" s="6"/>
      <c r="B13" s="48"/>
      <c r="C13" s="39" t="s">
        <v>15</v>
      </c>
      <c r="D13" s="40">
        <f>ROUND(DEGREES($J$3*(COS(D11+$J$5)-COS(D11)))*60^2,1)</f>
        <v>1.6</v>
      </c>
      <c r="E13" s="41">
        <f t="shared" ref="E13:P13" si="2">ROUND(DEGREES($J$3*(COS(E11+$J$5)-COS(E11)))*60^2,1)</f>
        <v>1.5</v>
      </c>
      <c r="F13" s="41">
        <f t="shared" si="2"/>
        <v>1.4</v>
      </c>
      <c r="G13" s="41">
        <f t="shared" si="2"/>
        <v>1.1000000000000001</v>
      </c>
      <c r="H13" s="41">
        <f t="shared" si="2"/>
        <v>0.8</v>
      </c>
      <c r="I13" s="41">
        <f t="shared" si="2"/>
        <v>0.4</v>
      </c>
      <c r="J13" s="41">
        <f t="shared" si="2"/>
        <v>0</v>
      </c>
      <c r="K13" s="41">
        <f t="shared" si="2"/>
        <v>-0.4</v>
      </c>
      <c r="L13" s="41">
        <f t="shared" si="2"/>
        <v>-0.8</v>
      </c>
      <c r="M13" s="41">
        <f t="shared" si="2"/>
        <v>-1.1000000000000001</v>
      </c>
      <c r="N13" s="41">
        <f t="shared" si="2"/>
        <v>-1.4</v>
      </c>
      <c r="O13" s="41">
        <f t="shared" si="2"/>
        <v>-1.5</v>
      </c>
      <c r="P13" s="42">
        <f t="shared" si="2"/>
        <v>-1.6</v>
      </c>
    </row>
    <row r="14" spans="1:17">
      <c r="A14" s="6"/>
      <c r="B14" s="49" t="s">
        <v>32</v>
      </c>
      <c r="C14" s="32" t="s">
        <v>47</v>
      </c>
      <c r="D14" s="43">
        <f>DEGREES(ACOS(SIN(RADIANS($H$1))*SIN(RADIANS($H$1)+RADIANS(D13/60^2))+COS(RADIANS($H$1))*COS(RADIANS($H$1)+RADIANS(D13/60^2))*COS(RADIANS(D12/60^2))))*60^2</f>
        <v>1.600001079852666</v>
      </c>
      <c r="E14" s="43">
        <f t="shared" ref="E14:P14" si="3">DEGREES(ACOS(SIN(RADIANS($H$1))*SIN(RADIANS($H$1)+RADIANS(E13/60^2))+COS(RADIANS($H$1))*COS(RADIANS($H$1)+RADIANS(E13/60^2))*COS(RADIANS(E12/60^2))))*60^2</f>
        <v>1.6552960987552803</v>
      </c>
      <c r="F14" s="43">
        <f t="shared" si="3"/>
        <v>1.8439102960264147</v>
      </c>
      <c r="G14" s="43">
        <f t="shared" si="3"/>
        <v>2.0248465294094364</v>
      </c>
      <c r="H14" s="43">
        <f t="shared" si="3"/>
        <v>2.2472216607938633</v>
      </c>
      <c r="I14" s="43">
        <f t="shared" si="3"/>
        <v>2.4331051982374485</v>
      </c>
      <c r="J14" s="43">
        <f t="shared" si="3"/>
        <v>2.3999996516390398</v>
      </c>
      <c r="K14" s="43">
        <f t="shared" si="3"/>
        <v>2.4331051982374485</v>
      </c>
      <c r="L14" s="43">
        <f t="shared" si="3"/>
        <v>2.2472216607938633</v>
      </c>
      <c r="M14" s="43">
        <f t="shared" si="3"/>
        <v>2.0248465294094364</v>
      </c>
      <c r="N14" s="43">
        <f t="shared" si="3"/>
        <v>1.8439102960264147</v>
      </c>
      <c r="O14" s="43">
        <f t="shared" si="3"/>
        <v>1.6155513090832931</v>
      </c>
      <c r="P14" s="44">
        <f t="shared" si="3"/>
        <v>1.600001079852666</v>
      </c>
      <c r="Q14" s="11"/>
    </row>
    <row r="15" spans="1:17">
      <c r="B15" s="50"/>
      <c r="C15" s="7" t="s">
        <v>48</v>
      </c>
      <c r="D15" s="45" t="str">
        <f>IF($H$6="","",2*PI()*$H$6*((D14/60^2)/360)*10^3)</f>
        <v/>
      </c>
      <c r="E15" s="45" t="str">
        <f t="shared" ref="E15:P15" si="4">IF($H$6="","",2*PI()*$H$6*((E14/60^2)/360)*10^3)</f>
        <v/>
      </c>
      <c r="F15" s="45" t="str">
        <f t="shared" si="4"/>
        <v/>
      </c>
      <c r="G15" s="45" t="str">
        <f t="shared" si="4"/>
        <v/>
      </c>
      <c r="H15" s="45" t="str">
        <f t="shared" si="4"/>
        <v/>
      </c>
      <c r="I15" s="45" t="str">
        <f t="shared" si="4"/>
        <v/>
      </c>
      <c r="J15" s="45" t="str">
        <f t="shared" si="4"/>
        <v/>
      </c>
      <c r="K15" s="45" t="str">
        <f t="shared" si="4"/>
        <v/>
      </c>
      <c r="L15" s="45" t="str">
        <f t="shared" si="4"/>
        <v/>
      </c>
      <c r="M15" s="45" t="str">
        <f t="shared" si="4"/>
        <v/>
      </c>
      <c r="N15" s="45" t="str">
        <f t="shared" si="4"/>
        <v/>
      </c>
      <c r="O15" s="45" t="str">
        <f t="shared" si="4"/>
        <v/>
      </c>
      <c r="P15" s="46" t="str">
        <f t="shared" si="4"/>
        <v/>
      </c>
    </row>
    <row r="16" spans="1:17">
      <c r="D16" s="11"/>
    </row>
    <row r="17" spans="2:9">
      <c r="D17" s="11"/>
    </row>
    <row r="18" spans="2:9">
      <c r="B18" t="s">
        <v>64</v>
      </c>
    </row>
    <row r="19" spans="2:9">
      <c r="B19" t="s">
        <v>56</v>
      </c>
    </row>
    <row r="20" spans="2:9">
      <c r="C20" t="s">
        <v>60</v>
      </c>
      <c r="I20" s="12"/>
    </row>
    <row r="21" spans="2:9">
      <c r="B21" t="s">
        <v>58</v>
      </c>
    </row>
    <row r="22" spans="2:9">
      <c r="C22" t="s">
        <v>59</v>
      </c>
    </row>
    <row r="24" spans="2:9">
      <c r="B24" t="s">
        <v>17</v>
      </c>
    </row>
    <row r="25" spans="2:9">
      <c r="C25" t="s">
        <v>34</v>
      </c>
      <c r="D25" s="10" t="s">
        <v>18</v>
      </c>
    </row>
    <row r="26" spans="2:9">
      <c r="C26" t="s">
        <v>19</v>
      </c>
      <c r="D26" s="11" t="s">
        <v>20</v>
      </c>
    </row>
    <row r="27" spans="2:9">
      <c r="B27" t="s">
        <v>21</v>
      </c>
    </row>
    <row r="28" spans="2:9">
      <c r="C28" t="s">
        <v>35</v>
      </c>
      <c r="D28" s="10" t="s">
        <v>22</v>
      </c>
    </row>
    <row r="29" spans="2:9">
      <c r="B29" s="10" t="s">
        <v>23</v>
      </c>
    </row>
    <row r="30" spans="2:9">
      <c r="C30" s="25" t="s">
        <v>36</v>
      </c>
      <c r="D30" s="25" t="s">
        <v>37</v>
      </c>
    </row>
  </sheetData>
  <mergeCells count="2">
    <mergeCell ref="B12:B13"/>
    <mergeCell ref="B14:B15"/>
  </mergeCells>
  <phoneticPr fontId="2"/>
  <conditionalFormatting sqref="D8:P8">
    <cfRule type="cellIs" dxfId="0" priority="1" stopIfTrue="1" operator="equal">
      <formula>"▼"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G2" sqref="G2"/>
    </sheetView>
  </sheetViews>
  <sheetFormatPr defaultRowHeight="13.5"/>
  <cols>
    <col min="1" max="1" width="4.625" customWidth="1"/>
    <col min="2" max="3" width="9" customWidth="1"/>
  </cols>
  <sheetData>
    <row r="1" spans="1:20">
      <c r="A1" s="26" t="s">
        <v>0</v>
      </c>
      <c r="B1" t="s">
        <v>50</v>
      </c>
      <c r="E1" t="s">
        <v>52</v>
      </c>
      <c r="G1" s="5">
        <v>0</v>
      </c>
      <c r="H1" t="s">
        <v>1</v>
      </c>
    </row>
    <row r="2" spans="1:20">
      <c r="A2" s="26" t="s">
        <v>5</v>
      </c>
      <c r="B2" s="4" t="s">
        <v>51</v>
      </c>
      <c r="E2" t="s">
        <v>53</v>
      </c>
      <c r="G2" s="24">
        <v>0</v>
      </c>
      <c r="H2" t="s">
        <v>38</v>
      </c>
      <c r="I2">
        <f>SIN(RADIANS(90-G2))</f>
        <v>1</v>
      </c>
      <c r="J2" t="s">
        <v>6</v>
      </c>
    </row>
    <row r="3" spans="1:20">
      <c r="A3" s="26" t="s">
        <v>7</v>
      </c>
      <c r="B3" t="s">
        <v>33</v>
      </c>
      <c r="E3" t="s">
        <v>52</v>
      </c>
      <c r="G3" s="2">
        <v>0</v>
      </c>
      <c r="H3" t="s">
        <v>1</v>
      </c>
    </row>
    <row r="4" spans="1:20">
      <c r="A4" s="26" t="s">
        <v>9</v>
      </c>
      <c r="B4" s="4" t="s">
        <v>51</v>
      </c>
      <c r="E4" t="s">
        <v>54</v>
      </c>
      <c r="G4" s="2">
        <f>1/60*1.5</f>
        <v>2.5000000000000001E-2</v>
      </c>
      <c r="H4" t="s">
        <v>38</v>
      </c>
      <c r="I4">
        <f>RADIANS(G4)</f>
        <v>4.363323129985824E-4</v>
      </c>
      <c r="J4" t="s">
        <v>6</v>
      </c>
    </row>
    <row r="5" spans="1:20">
      <c r="A5" s="26" t="s">
        <v>12</v>
      </c>
      <c r="B5" t="s">
        <v>13</v>
      </c>
      <c r="G5" s="2">
        <v>4</v>
      </c>
      <c r="H5" t="s">
        <v>14</v>
      </c>
    </row>
    <row r="6" spans="1:20">
      <c r="B6" t="s">
        <v>39</v>
      </c>
      <c r="G6">
        <f>15/60*G5</f>
        <v>1</v>
      </c>
      <c r="H6" t="s">
        <v>38</v>
      </c>
      <c r="I6">
        <f>RADIANS(G6)</f>
        <v>1.7453292519943295E-2</v>
      </c>
      <c r="J6" t="s">
        <v>6</v>
      </c>
    </row>
    <row r="8" spans="1:20">
      <c r="A8" t="s">
        <v>17</v>
      </c>
      <c r="J8" s="9"/>
    </row>
    <row r="10" spans="1:20">
      <c r="B10" t="s">
        <v>34</v>
      </c>
      <c r="C10" s="27" t="s">
        <v>18</v>
      </c>
      <c r="G10" s="29">
        <f>DEGREES(I4*TAN(I2)*(SIN(I12+I6)-SIN(I12)))</f>
        <v>6.795128149810571E-4</v>
      </c>
      <c r="H10" t="s">
        <v>40</v>
      </c>
      <c r="I10" s="29">
        <f>G10*60^2</f>
        <v>2.4462461339318056</v>
      </c>
      <c r="J10" t="s">
        <v>41</v>
      </c>
    </row>
    <row r="12" spans="1:20">
      <c r="B12" t="s">
        <v>19</v>
      </c>
      <c r="C12" s="11" t="s">
        <v>20</v>
      </c>
      <c r="G12">
        <f>(G1-G3)*15</f>
        <v>0</v>
      </c>
      <c r="H12" t="s">
        <v>38</v>
      </c>
      <c r="I12">
        <f>RADIANS(G12)</f>
        <v>0</v>
      </c>
      <c r="J12" t="s">
        <v>6</v>
      </c>
    </row>
    <row r="13" spans="1:20">
      <c r="S13" s="12"/>
      <c r="T13" s="13"/>
    </row>
    <row r="14" spans="1:20">
      <c r="A14" t="s">
        <v>21</v>
      </c>
    </row>
    <row r="16" spans="1:20">
      <c r="B16" t="s">
        <v>35</v>
      </c>
      <c r="C16" s="27" t="s">
        <v>22</v>
      </c>
      <c r="G16" s="29">
        <f>DEGREES(I4*(COS(I12+I6)-COS(I12)))</f>
        <v>-3.8076210902182607E-6</v>
      </c>
      <c r="H16" t="s">
        <v>40</v>
      </c>
      <c r="I16" s="29">
        <f>G16*60^2</f>
        <v>-1.3707435924785738E-2</v>
      </c>
      <c r="J16" t="s">
        <v>41</v>
      </c>
    </row>
    <row r="18" spans="1:10">
      <c r="A18" s="27" t="s">
        <v>42</v>
      </c>
    </row>
    <row r="20" spans="1:10">
      <c r="B20" s="25" t="s">
        <v>36</v>
      </c>
      <c r="C20" s="25" t="s">
        <v>37</v>
      </c>
      <c r="I20" s="28"/>
    </row>
    <row r="21" spans="1:10">
      <c r="F21" s="14" t="s">
        <v>61</v>
      </c>
      <c r="G21">
        <f>SIN(RADIANS(G2))*SIN(RADIANS(G2)+RADIANS(G16))+COS(RADIANS(G2))*COS(RADIANS(G2)+RADIANS(G16))*COS(RADIANS(G10))</f>
        <v>0.99999999992967115</v>
      </c>
      <c r="H21" t="s">
        <v>62</v>
      </c>
      <c r="I21" s="11"/>
    </row>
    <row r="22" spans="1:10">
      <c r="A22" s="27"/>
      <c r="B22" s="27"/>
      <c r="C22" s="27"/>
      <c r="D22" s="27"/>
      <c r="E22" s="27"/>
      <c r="F22" s="27"/>
      <c r="G22" s="30">
        <f>DEGREES(ACOS(G21))</f>
        <v>6.7952337415315563E-4</v>
      </c>
      <c r="H22" s="27" t="s">
        <v>40</v>
      </c>
      <c r="I22" s="30">
        <f>G22*60^2</f>
        <v>2.4462841469513603</v>
      </c>
      <c r="J22" t="s">
        <v>43</v>
      </c>
    </row>
    <row r="23" spans="1:10">
      <c r="I23" s="4"/>
    </row>
    <row r="24" spans="1:10">
      <c r="F24" s="14" t="s">
        <v>44</v>
      </c>
      <c r="G24" s="2"/>
      <c r="H24" t="s">
        <v>45</v>
      </c>
      <c r="I24" s="31" t="str">
        <f>IF(G24="","",2*PI()*G24*((I22/60^2)/360)*10^3)</f>
        <v/>
      </c>
      <c r="J24" t="s">
        <v>46</v>
      </c>
    </row>
    <row r="26" spans="1:10">
      <c r="B26" t="s">
        <v>55</v>
      </c>
    </row>
    <row r="27" spans="1:10">
      <c r="B27" t="s">
        <v>56</v>
      </c>
    </row>
    <row r="28" spans="1:10">
      <c r="C28" t="s">
        <v>57</v>
      </c>
      <c r="I28" s="12"/>
      <c r="J28" s="13"/>
    </row>
    <row r="29" spans="1:10">
      <c r="B29" t="s">
        <v>58</v>
      </c>
    </row>
    <row r="30" spans="1:10">
      <c r="C30" t="s">
        <v>59</v>
      </c>
    </row>
    <row r="32" spans="1:10">
      <c r="B32" t="s">
        <v>17</v>
      </c>
      <c r="J32" s="9"/>
    </row>
    <row r="33" spans="2:4">
      <c r="C33" t="s">
        <v>34</v>
      </c>
      <c r="D33" s="10" t="s">
        <v>18</v>
      </c>
    </row>
    <row r="34" spans="2:4">
      <c r="C34" t="s">
        <v>19</v>
      </c>
      <c r="D34" s="11" t="s">
        <v>20</v>
      </c>
    </row>
    <row r="35" spans="2:4">
      <c r="B35" t="s">
        <v>21</v>
      </c>
    </row>
    <row r="36" spans="2:4">
      <c r="C36" t="s">
        <v>35</v>
      </c>
      <c r="D36" s="10" t="s">
        <v>22</v>
      </c>
    </row>
    <row r="37" spans="2:4">
      <c r="B37" s="10" t="s">
        <v>23</v>
      </c>
    </row>
    <row r="38" spans="2:4">
      <c r="C38" s="25" t="s">
        <v>36</v>
      </c>
      <c r="D38" s="25" t="s">
        <v>37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hryk</dc:creator>
  <cp:lastModifiedBy>hryk</cp:lastModifiedBy>
  <dcterms:created xsi:type="dcterms:W3CDTF">1997-01-08T22:48:59Z</dcterms:created>
  <dcterms:modified xsi:type="dcterms:W3CDTF">2019-03-01T09:35:11Z</dcterms:modified>
</cp:coreProperties>
</file>