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765" windowHeight="6525" tabRatio="458" activeTab="0"/>
  </bookViews>
  <sheets>
    <sheet name="個人決算1" sheetId="1" r:id="rId1"/>
  </sheets>
  <definedNames>
    <definedName name="_Regression_Int" localSheetId="0" hidden="1">1</definedName>
    <definedName name="\a">'個人決算1'!$J$8:$IV$8192</definedName>
    <definedName name="\d">'個人決算1'!$M$3:$M$8</definedName>
    <definedName name="\m">'個人決算1'!$H$3:$H$6</definedName>
    <definedName name="\p">'個人決算1'!$R$3:$R$5</definedName>
    <definedName name="\r">'個人決算1'!$R$11:$R$13</definedName>
    <definedName name="\u">'個人決算1'!$O$3:$O$7</definedName>
    <definedName name="KE">'個人決算1'!#REF!</definedName>
    <definedName name="MENU">'個人決算1'!$H$2:$H$6</definedName>
    <definedName name="_xlnm.Print_Area" localSheetId="0">'個人決算1'!$A$22:$P$77</definedName>
    <definedName name="Print_Area_MI" localSheetId="0">'個人決算1'!$A$22:$P$77</definedName>
    <definedName name="RECORD">'個人決算1'!#REF!</definedName>
    <definedName name="SH">'個人決算1'!#REF!</definedName>
    <definedName name="SK">'個人決算1'!#REF!</definedName>
    <definedName name="SONEKI">'個人決算1'!$J$2:$J$6</definedName>
    <definedName name="SONEKIPR">'個人決算1'!$J$11:$J$18</definedName>
    <definedName name="SYOUHI">'個人決算1'!$L$2:$L$7</definedName>
    <definedName name="SYOUHIPR">'個人決算1'!$L$11:$L$19</definedName>
    <definedName name="URI">'個人決算1'!$K$25</definedName>
    <definedName name="URI2">'個人決算1'!$L$25</definedName>
    <definedName name="URISHI">'個人決算1'!$K$2:$K$7</definedName>
    <definedName name="URISHIPR">'個人決算1'!$K$11:$K$19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<sst xmlns="http://schemas.openxmlformats.org/spreadsheetml/2006/main" count="134" uniqueCount="120">
  <si>
    <t>年を</t>
  </si>
  <si>
    <t>入力する</t>
  </si>
  <si>
    <t>当期</t>
  </si>
  <si>
    <t>年</t>
  </si>
  <si>
    <t>前期</t>
  </si>
  <si>
    <t>税込み</t>
  </si>
  <si>
    <t>非=1</t>
  </si>
  <si>
    <t>消費税</t>
  </si>
  <si>
    <t>差引税抜き</t>
  </si>
  <si>
    <t>税抜き</t>
  </si>
  <si>
    <t>当年/前年</t>
  </si>
  <si>
    <t xml:space="preserve"> </t>
  </si>
  <si>
    <t>課=0</t>
  </si>
  <si>
    <t>増減百分比</t>
  </si>
  <si>
    <t>増減千円</t>
  </si>
  <si>
    <t>構成比</t>
  </si>
  <si>
    <t>売上</t>
  </si>
  <si>
    <t>消費税差額</t>
  </si>
  <si>
    <t>収入金額</t>
  </si>
  <si>
    <t>期首棚卸</t>
  </si>
  <si>
    <t>期中仕入</t>
  </si>
  <si>
    <t>仕入計</t>
  </si>
  <si>
    <t>期末柵卸</t>
  </si>
  <si>
    <t>売上原価</t>
  </si>
  <si>
    <t>売上総利益</t>
  </si>
  <si>
    <t>公租公課</t>
  </si>
  <si>
    <t>荷造運賃</t>
  </si>
  <si>
    <t>水道光熱費</t>
  </si>
  <si>
    <t>旅費交通費</t>
  </si>
  <si>
    <t>通信費</t>
  </si>
  <si>
    <t>広告宣伝費</t>
  </si>
  <si>
    <t>接待交際費</t>
  </si>
  <si>
    <t>損害保険料</t>
  </si>
  <si>
    <t>修繕費</t>
  </si>
  <si>
    <t>消耗品費</t>
  </si>
  <si>
    <t>減価償却費</t>
  </si>
  <si>
    <t>福利厚生費</t>
  </si>
  <si>
    <t>給料賃金</t>
  </si>
  <si>
    <t>利子割引料</t>
  </si>
  <si>
    <t>地代家賃</t>
  </si>
  <si>
    <t>人材派遣費</t>
  </si>
  <si>
    <t>退職金</t>
  </si>
  <si>
    <t>研修費</t>
  </si>
  <si>
    <t>事務用品費</t>
  </si>
  <si>
    <t>支払手数料</t>
  </si>
  <si>
    <t>諸会費</t>
  </si>
  <si>
    <t>賃借料</t>
  </si>
  <si>
    <t>法定福利費</t>
  </si>
  <si>
    <t>会議費</t>
  </si>
  <si>
    <t>雑費</t>
  </si>
  <si>
    <t>経費計</t>
  </si>
  <si>
    <t>差引金額</t>
  </si>
  <si>
    <t>貸倒引当金</t>
  </si>
  <si>
    <t>繰戻計</t>
  </si>
  <si>
    <t>専従者給与</t>
  </si>
  <si>
    <t>繰入計</t>
  </si>
  <si>
    <t>控除前金額</t>
  </si>
  <si>
    <t>青申控除</t>
  </si>
  <si>
    <t>所得金額</t>
  </si>
  <si>
    <t>所得控除</t>
  </si>
  <si>
    <t>課税所得</t>
  </si>
  <si>
    <t>増差</t>
  </si>
  <si>
    <t>税額</t>
  </si>
  <si>
    <t>T/B経費</t>
  </si>
  <si>
    <t>源泉徴収税額</t>
  </si>
  <si>
    <t>月</t>
  </si>
  <si>
    <t>売上税込み</t>
  </si>
  <si>
    <t>税抜き売上</t>
  </si>
  <si>
    <t>仕入税込み</t>
  </si>
  <si>
    <t>税抜き仕入</t>
  </si>
  <si>
    <t>差引税額</t>
  </si>
  <si>
    <t xml:space="preserve">       月</t>
  </si>
  <si>
    <t>世帯所得</t>
  </si>
  <si>
    <t>自家消費</t>
  </si>
  <si>
    <t>雑収入</t>
  </si>
  <si>
    <t>計</t>
  </si>
  <si>
    <t>消費税計算</t>
  </si>
  <si>
    <t>その他課税</t>
  </si>
  <si>
    <t>対価返還</t>
  </si>
  <si>
    <t>差引</t>
  </si>
  <si>
    <t>貸倒に係る</t>
  </si>
  <si>
    <t>限界控除前</t>
  </si>
  <si>
    <t>限界控除後</t>
  </si>
  <si>
    <t>中間納付額</t>
  </si>
  <si>
    <t>納付税額</t>
  </si>
  <si>
    <t>中間還付額</t>
  </si>
  <si>
    <t>課税売上額</t>
  </si>
  <si>
    <t>　３月まで</t>
  </si>
  <si>
    <t>右下で処理</t>
  </si>
  <si>
    <t xml:space="preserve"> 1-3(3%)</t>
  </si>
  <si>
    <t xml:space="preserve"> 4-12(5%)</t>
  </si>
  <si>
    <t>0.012or.0016</t>
  </si>
  <si>
    <t>限界控除の計算</t>
  </si>
  <si>
    <t>　5,000万円－</t>
  </si>
  <si>
    <t>X</t>
  </si>
  <si>
    <t xml:space="preserve">       2,000万円         </t>
  </si>
  <si>
    <t xml:space="preserve"> -----------------------  =</t>
  </si>
  <si>
    <t>地方消費税</t>
  </si>
  <si>
    <t>同上の25%</t>
  </si>
  <si>
    <t>納付合計</t>
  </si>
  <si>
    <t>限界控除額</t>
  </si>
  <si>
    <t>売上高(T/B)</t>
  </si>
  <si>
    <t>　（1月-3月)</t>
  </si>
  <si>
    <t>前年対比分析</t>
  </si>
  <si>
    <t>売上（税抜きと前年対比）</t>
  </si>
  <si>
    <t>仕入（税抜きと前年対比）</t>
  </si>
  <si>
    <t>消費税計算</t>
  </si>
  <si>
    <t>P/L(税抜き)</t>
  </si>
  <si>
    <t>P/L(税込み)</t>
  </si>
  <si>
    <t>注意点：</t>
  </si>
  <si>
    <t>・　計算式は保護していますので、計算式が間違っている</t>
  </si>
  <si>
    <t>　　ときはツ－ル　－＞　保護　－＞シ－ト保護の解除　</t>
  </si>
  <si>
    <t>　　をしてください。</t>
  </si>
  <si>
    <t>　処理２</t>
  </si>
  <si>
    <t>　処理１</t>
  </si>
  <si>
    <t>　処理３</t>
  </si>
  <si>
    <t>　処理４　</t>
  </si>
  <si>
    <t>　処理５</t>
  </si>
  <si>
    <t>配置図と処理手順</t>
  </si>
  <si>
    <t>個人決算と経営分析（平成９年用）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</si>
</sst>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%"/>
    <numFmt numFmtId="178" formatCode="#,##0_ "/>
  </numFmts>
  <fonts count="4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2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/>
      <protection/>
    </xf>
    <xf numFmtId="0" fontId="0" fillId="0" borderId="4" xfId="0" applyBorder="1" applyAlignment="1" applyProtection="1">
      <alignment horizontal="left"/>
      <protection/>
    </xf>
    <xf numFmtId="37" fontId="0" fillId="0" borderId="2" xfId="0" applyNumberForma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 locked="0"/>
    </xf>
    <xf numFmtId="177" fontId="0" fillId="0" borderId="2" xfId="0" applyNumberForma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 horizontal="left"/>
      <protection locked="0"/>
    </xf>
    <xf numFmtId="37" fontId="0" fillId="0" borderId="3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 horizontal="left"/>
      <protection/>
    </xf>
    <xf numFmtId="177" fontId="0" fillId="0" borderId="3" xfId="0" applyNumberFormat="1" applyBorder="1" applyAlignment="1" applyProtection="1">
      <alignment/>
      <protection/>
    </xf>
    <xf numFmtId="1" fontId="2" fillId="0" borderId="2" xfId="0" applyNumberFormat="1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 applyProtection="1">
      <alignment horizontal="left"/>
      <protection/>
    </xf>
    <xf numFmtId="37" fontId="2" fillId="0" borderId="3" xfId="0" applyNumberFormat="1" applyFont="1" applyBorder="1" applyAlignment="1" applyProtection="1">
      <alignment/>
      <protection locked="0"/>
    </xf>
    <xf numFmtId="1" fontId="2" fillId="0" borderId="3" xfId="0" applyNumberFormat="1" applyFont="1" applyBorder="1" applyAlignment="1" applyProtection="1">
      <alignment/>
      <protection locked="0"/>
    </xf>
    <xf numFmtId="1" fontId="0" fillId="0" borderId="3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 locked="0"/>
    </xf>
    <xf numFmtId="37" fontId="0" fillId="0" borderId="5" xfId="0" applyNumberFormat="1" applyBorder="1" applyAlignment="1" applyProtection="1">
      <alignment/>
      <protection/>
    </xf>
    <xf numFmtId="0" fontId="2" fillId="0" borderId="0" xfId="0" applyFont="1" applyAlignment="1" applyProtection="1" quotePrefix="1">
      <alignment/>
      <protection locked="0"/>
    </xf>
    <xf numFmtId="38" fontId="0" fillId="0" borderId="0" xfId="16" applyAlignment="1" applyProtection="1">
      <alignment/>
      <protection/>
    </xf>
    <xf numFmtId="38" fontId="0" fillId="0" borderId="0" xfId="16" applyAlignment="1">
      <alignment/>
    </xf>
    <xf numFmtId="38" fontId="2" fillId="0" borderId="0" xfId="16" applyFont="1" applyAlignment="1" applyProtection="1">
      <alignment/>
      <protection locked="0"/>
    </xf>
    <xf numFmtId="38" fontId="0" fillId="0" borderId="0" xfId="0" applyNumberFormat="1" applyAlignment="1">
      <alignment/>
    </xf>
    <xf numFmtId="38" fontId="0" fillId="0" borderId="0" xfId="16" applyFont="1" applyAlignment="1">
      <alignment/>
    </xf>
    <xf numFmtId="0" fontId="0" fillId="0" borderId="0" xfId="0" applyAlignment="1">
      <alignment horizontal="right"/>
    </xf>
    <xf numFmtId="38" fontId="0" fillId="0" borderId="0" xfId="16" applyFont="1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 locked="0"/>
    </xf>
    <xf numFmtId="38" fontId="2" fillId="0" borderId="0" xfId="16" applyFont="1" applyAlignment="1" applyProtection="1">
      <alignment/>
      <protection/>
    </xf>
    <xf numFmtId="38" fontId="0" fillId="0" borderId="0" xfId="16" applyAlignment="1" applyProtection="1">
      <alignment/>
      <protection locked="0"/>
    </xf>
    <xf numFmtId="178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 applyProtection="1">
      <alignment horizontal="left"/>
      <protection/>
    </xf>
    <xf numFmtId="0" fontId="0" fillId="0" borderId="8" xfId="0" applyBorder="1" applyAlignment="1">
      <alignment/>
    </xf>
    <xf numFmtId="0" fontId="0" fillId="0" borderId="9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5" xfId="0" applyBorder="1" applyAlignment="1" applyProtection="1">
      <alignment/>
      <protection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39"/>
  <sheetViews>
    <sheetView showGridLines="0" tabSelected="1" zoomScale="75" zoomScaleNormal="75" workbookViewId="0" topLeftCell="A1">
      <selection activeCell="R78" sqref="R78"/>
    </sheetView>
  </sheetViews>
  <sheetFormatPr defaultColWidth="10.66015625" defaultRowHeight="18"/>
  <cols>
    <col min="1" max="1" width="4.66015625" style="0" customWidth="1"/>
    <col min="3" max="5" width="12.66015625" style="0" customWidth="1"/>
    <col min="6" max="6" width="4.66015625" style="0" customWidth="1"/>
    <col min="7" max="8" width="12.66015625" style="0" customWidth="1"/>
    <col min="9" max="9" width="4.66015625" style="0" customWidth="1"/>
    <col min="11" max="12" width="12.66015625" style="0" customWidth="1"/>
    <col min="15" max="15" width="7.91015625" style="0" customWidth="1"/>
    <col min="16" max="16" width="7.66015625" style="0" customWidth="1"/>
    <col min="17" max="17" width="11.83203125" style="0" customWidth="1"/>
    <col min="18" max="21" width="12.66015625" style="0" customWidth="1"/>
    <col min="22" max="23" width="4.66015625" style="0" customWidth="1"/>
    <col min="24" max="27" width="12.66015625" style="0" customWidth="1"/>
    <col min="29" max="29" width="11.66015625" style="0" customWidth="1"/>
  </cols>
  <sheetData>
    <row r="1" spans="1:18" ht="17.25">
      <c r="A1" s="5" t="s">
        <v>119</v>
      </c>
      <c r="B1" s="6"/>
      <c r="C1" s="6"/>
      <c r="D1" s="6"/>
      <c r="E1" s="5"/>
      <c r="H1" s="6"/>
      <c r="J1" s="6"/>
      <c r="M1" s="6"/>
      <c r="O1" s="6"/>
      <c r="R1" s="6"/>
    </row>
    <row r="2" spans="2:18" ht="17.25">
      <c r="B2" s="5"/>
      <c r="C2" s="5" t="s">
        <v>118</v>
      </c>
      <c r="D2" s="5"/>
      <c r="E2" s="5"/>
      <c r="H2" s="6"/>
      <c r="J2" s="6"/>
      <c r="M2" s="6"/>
      <c r="O2" s="6"/>
      <c r="R2" s="6"/>
    </row>
    <row r="3" spans="3:18" ht="17.25">
      <c r="C3" s="6"/>
      <c r="D3" s="6"/>
      <c r="E3" s="5"/>
      <c r="H3" s="6"/>
      <c r="M3" s="6"/>
      <c r="O3" s="6"/>
      <c r="R3" s="6"/>
    </row>
    <row r="4" spans="2:18" ht="17.25">
      <c r="B4" s="59" t="s">
        <v>107</v>
      </c>
      <c r="C4" s="59"/>
      <c r="D4" s="59" t="s">
        <v>108</v>
      </c>
      <c r="E4" s="64" t="s">
        <v>103</v>
      </c>
      <c r="H4" s="6"/>
      <c r="J4" s="6"/>
      <c r="M4" s="6"/>
      <c r="O4" s="6"/>
      <c r="R4" s="6"/>
    </row>
    <row r="5" spans="2:18" ht="17.25">
      <c r="B5" s="54"/>
      <c r="C5" s="54"/>
      <c r="D5" s="53"/>
      <c r="E5" s="50"/>
      <c r="J5" s="6"/>
      <c r="M5" s="6"/>
      <c r="O5" s="6"/>
      <c r="R5" s="6"/>
    </row>
    <row r="6" spans="2:15" ht="17.25">
      <c r="B6" s="54" t="s">
        <v>115</v>
      </c>
      <c r="C6" s="54"/>
      <c r="D6" s="54" t="s">
        <v>117</v>
      </c>
      <c r="E6" s="51"/>
      <c r="J6" s="6"/>
      <c r="M6" s="6"/>
      <c r="O6" s="6"/>
    </row>
    <row r="7" spans="2:10" ht="17.25">
      <c r="B7" s="54"/>
      <c r="C7" s="54"/>
      <c r="D7" s="53"/>
      <c r="E7" s="50"/>
      <c r="J7" s="6"/>
    </row>
    <row r="8" spans="2:10" ht="17.25">
      <c r="B8" s="54"/>
      <c r="C8" s="54"/>
      <c r="D8" s="54"/>
      <c r="E8" s="51"/>
      <c r="J8" s="6"/>
    </row>
    <row r="9" spans="2:18" ht="17.25">
      <c r="B9" s="60"/>
      <c r="C9" s="55"/>
      <c r="D9" s="61"/>
      <c r="E9" s="52"/>
      <c r="R9" s="6"/>
    </row>
    <row r="10" spans="2:18" ht="17.25">
      <c r="B10" s="58"/>
      <c r="C10" s="63"/>
      <c r="D10" s="58"/>
      <c r="E10" s="58"/>
      <c r="G10" s="48" t="s">
        <v>104</v>
      </c>
      <c r="H10" s="49"/>
      <c r="I10" s="48" t="s">
        <v>105</v>
      </c>
      <c r="J10" s="57"/>
      <c r="K10" s="49"/>
      <c r="R10" s="6"/>
    </row>
    <row r="11" spans="2:18" ht="17.25">
      <c r="B11" s="58" t="s">
        <v>109</v>
      </c>
      <c r="C11" s="63"/>
      <c r="D11" s="62"/>
      <c r="E11" s="62"/>
      <c r="G11" s="2" t="s">
        <v>114</v>
      </c>
      <c r="H11" s="51"/>
      <c r="I11" s="2" t="s">
        <v>113</v>
      </c>
      <c r="J11" s="58"/>
      <c r="K11" s="51"/>
      <c r="R11" s="6"/>
    </row>
    <row r="12" spans="2:18" ht="17.25">
      <c r="B12" s="58" t="s">
        <v>110</v>
      </c>
      <c r="C12" s="63"/>
      <c r="D12" s="63"/>
      <c r="E12" s="63"/>
      <c r="G12" s="2"/>
      <c r="H12" s="51"/>
      <c r="I12" s="2"/>
      <c r="J12" s="58"/>
      <c r="K12" s="51"/>
      <c r="R12" s="6"/>
    </row>
    <row r="13" spans="2:18" ht="17.25">
      <c r="B13" s="58" t="s">
        <v>111</v>
      </c>
      <c r="C13" s="63"/>
      <c r="D13" s="63"/>
      <c r="E13" s="58"/>
      <c r="G13" s="3"/>
      <c r="H13" s="56"/>
      <c r="I13" s="3"/>
      <c r="J13" s="1"/>
      <c r="K13" s="56"/>
      <c r="R13" s="6"/>
    </row>
    <row r="14" spans="2:7" ht="17.25">
      <c r="B14" s="58" t="s">
        <v>112</v>
      </c>
      <c r="C14" s="58"/>
      <c r="D14" s="62"/>
      <c r="E14" s="63"/>
      <c r="G14" s="59" t="s">
        <v>106</v>
      </c>
    </row>
    <row r="15" spans="3:7" ht="17.25">
      <c r="C15" s="6"/>
      <c r="G15" s="54"/>
    </row>
    <row r="16" spans="3:7" ht="17.25">
      <c r="C16" s="5"/>
      <c r="D16" s="5"/>
      <c r="G16" s="54" t="s">
        <v>116</v>
      </c>
    </row>
    <row r="17" spans="1:7" ht="17.25">
      <c r="A17" s="6" t="s">
        <v>0</v>
      </c>
      <c r="B17" s="6" t="s">
        <v>1</v>
      </c>
      <c r="G17" s="54"/>
    </row>
    <row r="18" spans="1:7" ht="17.25">
      <c r="A18" s="6" t="s">
        <v>2</v>
      </c>
      <c r="B18" s="7">
        <v>9</v>
      </c>
      <c r="C18" s="6" t="s">
        <v>3</v>
      </c>
      <c r="G18" s="54"/>
    </row>
    <row r="19" spans="1:7" ht="17.25">
      <c r="A19" s="6" t="s">
        <v>4</v>
      </c>
      <c r="B19" s="5">
        <f>B18-1</f>
        <v>8</v>
      </c>
      <c r="C19" s="6" t="s">
        <v>3</v>
      </c>
      <c r="G19" s="60"/>
    </row>
    <row r="20" ht="17.25">
      <c r="G20" s="5"/>
    </row>
    <row r="21" spans="1:16" ht="17.25">
      <c r="A21" s="1"/>
      <c r="B21" s="1"/>
      <c r="C21" s="1"/>
      <c r="D21" s="1"/>
      <c r="E21" s="1"/>
      <c r="F21" s="1"/>
      <c r="G21" s="1"/>
      <c r="H21" s="1"/>
      <c r="I21" s="8"/>
      <c r="J21" s="8"/>
      <c r="K21" s="1"/>
      <c r="L21" s="1"/>
      <c r="M21" s="1"/>
      <c r="N21" s="1"/>
      <c r="O21" s="1"/>
      <c r="P21" s="1"/>
    </row>
    <row r="22" spans="1:17" ht="17.25">
      <c r="A22" s="2"/>
      <c r="B22" s="9">
        <f ca="1">NOW()</f>
        <v>35826.7303880787</v>
      </c>
      <c r="C22" s="10" t="s">
        <v>5</v>
      </c>
      <c r="D22" s="2"/>
      <c r="E22" s="10" t="s">
        <v>5</v>
      </c>
      <c r="F22" s="10" t="s">
        <v>6</v>
      </c>
      <c r="G22" s="10" t="s">
        <v>7</v>
      </c>
      <c r="H22" s="10" t="s">
        <v>8</v>
      </c>
      <c r="I22" s="11"/>
      <c r="J22" s="9">
        <f ca="1">NOW()</f>
        <v>35826.7303880787</v>
      </c>
      <c r="K22" s="10" t="s">
        <v>9</v>
      </c>
      <c r="L22" s="2"/>
      <c r="M22" s="10" t="s">
        <v>10</v>
      </c>
      <c r="N22" s="10" t="s">
        <v>10</v>
      </c>
      <c r="O22" s="11">
        <f>K23</f>
        <v>9</v>
      </c>
      <c r="P22" s="11">
        <f>L23</f>
        <v>8</v>
      </c>
      <c r="Q22" s="2"/>
    </row>
    <row r="23" spans="1:17" ht="17.25">
      <c r="A23" s="4"/>
      <c r="B23" s="12" t="s">
        <v>11</v>
      </c>
      <c r="C23" s="13">
        <f>B18</f>
        <v>9</v>
      </c>
      <c r="D23" s="14" t="s">
        <v>87</v>
      </c>
      <c r="E23" s="4"/>
      <c r="F23" s="14" t="s">
        <v>12</v>
      </c>
      <c r="G23" s="4"/>
      <c r="H23" s="4"/>
      <c r="I23" s="13"/>
      <c r="J23" s="13"/>
      <c r="K23" s="13">
        <f>C23</f>
        <v>9</v>
      </c>
      <c r="L23" s="13">
        <f>B19</f>
        <v>8</v>
      </c>
      <c r="M23" s="14" t="s">
        <v>13</v>
      </c>
      <c r="N23" s="14" t="s">
        <v>14</v>
      </c>
      <c r="O23" s="14" t="s">
        <v>15</v>
      </c>
      <c r="P23" s="14" t="s">
        <v>15</v>
      </c>
      <c r="Q23" s="2"/>
    </row>
    <row r="24" spans="1:17" ht="17.25">
      <c r="A24" s="2"/>
      <c r="B24" s="2"/>
      <c r="C24" s="2"/>
      <c r="D24" s="2"/>
      <c r="E24" s="2"/>
      <c r="F24" s="2"/>
      <c r="G24" s="2"/>
      <c r="H24" s="2"/>
      <c r="I24" s="11"/>
      <c r="J24" s="11"/>
      <c r="K24" s="2"/>
      <c r="L24" s="2"/>
      <c r="M24" s="2"/>
      <c r="N24" s="2"/>
      <c r="O24" s="2"/>
      <c r="P24" s="2"/>
      <c r="Q24" s="2"/>
    </row>
    <row r="25" spans="1:25" ht="17.25">
      <c r="A25" s="11">
        <v>1</v>
      </c>
      <c r="B25" s="10" t="s">
        <v>16</v>
      </c>
      <c r="C25" s="15">
        <f>R88</f>
        <v>42930000</v>
      </c>
      <c r="D25" s="15" t="s">
        <v>88</v>
      </c>
      <c r="E25" s="15">
        <f>(C25-D25)</f>
        <v>42930000</v>
      </c>
      <c r="F25" s="16">
        <v>0</v>
      </c>
      <c r="G25" s="15">
        <f>S88</f>
        <v>1930000</v>
      </c>
      <c r="H25" s="15">
        <f>(E25-G25)</f>
        <v>41000000</v>
      </c>
      <c r="I25" s="15">
        <f>A25</f>
        <v>1</v>
      </c>
      <c r="J25" s="15" t="str">
        <f>B25</f>
        <v>売上</v>
      </c>
      <c r="K25" s="15">
        <f>(D25+H25)</f>
        <v>41000000</v>
      </c>
      <c r="L25" s="16">
        <v>39000000</v>
      </c>
      <c r="M25" s="17">
        <f aca="true" t="shared" si="0" ref="M25:M68">IF(L25&gt;0,IF(K25&gt;0,ROUND(K25/L25,3),""),"")</f>
        <v>1.051</v>
      </c>
      <c r="N25" s="15">
        <f aca="true" t="shared" si="1" ref="N25:N68">IF(K25&gt;0,IF(L25&gt;0,TRUNC((K25-L25)/1000),""),"")</f>
        <v>2000</v>
      </c>
      <c r="O25" s="17">
        <f aca="true" t="shared" si="2" ref="O25:O68">IF(K25/$K$27&lt;0.0009,"",ROUND(K25/$K$27,3))</f>
        <v>0.998</v>
      </c>
      <c r="P25" s="17">
        <f aca="true" t="shared" si="3" ref="P25:P68">IF(L25/$L$27&lt;0.0009,"",ROUND(L25/$L$27,3))</f>
        <v>0.993</v>
      </c>
      <c r="Q25" s="11"/>
      <c r="R25" s="5"/>
      <c r="S25" s="5"/>
      <c r="T25" s="5"/>
      <c r="U25" s="5"/>
      <c r="V25" s="5"/>
      <c r="W25" s="5"/>
      <c r="X25" s="5"/>
      <c r="Y25" s="5"/>
    </row>
    <row r="26" spans="1:25" ht="17.25">
      <c r="A26" s="2"/>
      <c r="B26" s="2"/>
      <c r="C26" s="15"/>
      <c r="D26" s="15"/>
      <c r="E26" s="15">
        <f>(C26-D26)</f>
        <v>0</v>
      </c>
      <c r="F26" s="15"/>
      <c r="G26" s="15">
        <f>IF((F26=1),0,TRUNC(((E26*3)/103)))</f>
        <v>0</v>
      </c>
      <c r="H26" s="15">
        <f>(E26-G26)</f>
        <v>0</v>
      </c>
      <c r="I26" s="15">
        <f>A26</f>
        <v>0</v>
      </c>
      <c r="J26" s="18" t="s">
        <v>17</v>
      </c>
      <c r="K26" s="16">
        <f>G68-R110</f>
        <v>93073</v>
      </c>
      <c r="L26" s="16">
        <v>256300</v>
      </c>
      <c r="M26" s="17">
        <f t="shared" si="0"/>
        <v>0.363</v>
      </c>
      <c r="N26" s="15">
        <f t="shared" si="1"/>
        <v>-163</v>
      </c>
      <c r="O26" s="17">
        <f t="shared" si="2"/>
        <v>0.002</v>
      </c>
      <c r="P26" s="17">
        <f t="shared" si="3"/>
        <v>0.007</v>
      </c>
      <c r="Q26" s="11"/>
      <c r="R26" s="5"/>
      <c r="S26" s="5"/>
      <c r="T26" s="5"/>
      <c r="U26" s="5"/>
      <c r="V26" s="5"/>
      <c r="W26" s="5"/>
      <c r="X26" s="5"/>
      <c r="Y26" s="5"/>
    </row>
    <row r="27" spans="1:17" ht="17.25">
      <c r="A27" s="3"/>
      <c r="B27" s="3"/>
      <c r="C27" s="19"/>
      <c r="D27" s="19"/>
      <c r="E27" s="19"/>
      <c r="F27" s="19"/>
      <c r="G27" s="19"/>
      <c r="H27" s="19"/>
      <c r="I27" s="19"/>
      <c r="J27" s="20" t="s">
        <v>18</v>
      </c>
      <c r="K27" s="19">
        <f>(K25+K26)</f>
        <v>41093073</v>
      </c>
      <c r="L27" s="19">
        <f>(L25+L26)</f>
        <v>39256300</v>
      </c>
      <c r="M27" s="21">
        <f t="shared" si="0"/>
        <v>1.047</v>
      </c>
      <c r="N27" s="19">
        <f t="shared" si="1"/>
        <v>1836</v>
      </c>
      <c r="O27" s="21">
        <f t="shared" si="2"/>
        <v>1</v>
      </c>
      <c r="P27" s="21">
        <f t="shared" si="3"/>
        <v>1</v>
      </c>
      <c r="Q27" s="2"/>
    </row>
    <row r="28" spans="1:25" ht="17.25">
      <c r="A28" s="11">
        <v>2</v>
      </c>
      <c r="B28" s="10" t="s">
        <v>19</v>
      </c>
      <c r="C28" s="16">
        <v>0</v>
      </c>
      <c r="D28" s="15"/>
      <c r="E28" s="15">
        <f>(C28-D28)</f>
        <v>0</v>
      </c>
      <c r="F28" s="16">
        <v>1</v>
      </c>
      <c r="G28" s="15">
        <f>IF((F28=1),0,TRUNC(((E28*3)/103)))</f>
        <v>0</v>
      </c>
      <c r="H28" s="15">
        <f>(E28-G28)</f>
        <v>0</v>
      </c>
      <c r="I28" s="15">
        <f aca="true" t="shared" si="4" ref="I28:I68">A28</f>
        <v>2</v>
      </c>
      <c r="J28" s="15" t="str">
        <f aca="true" t="shared" si="5" ref="J28:J68">B28</f>
        <v>期首棚卸</v>
      </c>
      <c r="K28" s="15">
        <f>(D28+H28)</f>
        <v>0</v>
      </c>
      <c r="L28" s="16">
        <v>0</v>
      </c>
      <c r="M28" s="17">
        <f t="shared" si="0"/>
      </c>
      <c r="N28" s="15">
        <f t="shared" si="1"/>
      </c>
      <c r="O28" s="17">
        <f t="shared" si="2"/>
      </c>
      <c r="P28" s="17">
        <f t="shared" si="3"/>
      </c>
      <c r="Q28" s="11"/>
      <c r="R28" s="5"/>
      <c r="S28" s="5"/>
      <c r="T28" s="5"/>
      <c r="U28" s="5"/>
      <c r="V28" s="5"/>
      <c r="W28" s="5"/>
      <c r="X28" s="5"/>
      <c r="Y28" s="5"/>
    </row>
    <row r="29" spans="1:25" ht="17.25">
      <c r="A29" s="11">
        <v>3</v>
      </c>
      <c r="B29" s="10" t="s">
        <v>20</v>
      </c>
      <c r="C29" s="19">
        <f>X88</f>
        <v>12540000</v>
      </c>
      <c r="D29" s="15" t="s">
        <v>88</v>
      </c>
      <c r="E29" s="15">
        <f>(C29-D29)</f>
        <v>12540000</v>
      </c>
      <c r="F29" s="16">
        <v>0</v>
      </c>
      <c r="G29" s="15">
        <f>Y88</f>
        <v>540000</v>
      </c>
      <c r="H29" s="15">
        <f>(E29-G29)</f>
        <v>12000000</v>
      </c>
      <c r="I29" s="15">
        <f t="shared" si="4"/>
        <v>3</v>
      </c>
      <c r="J29" s="15" t="str">
        <f t="shared" si="5"/>
        <v>期中仕入</v>
      </c>
      <c r="K29" s="15">
        <f>(D29+H29)</f>
        <v>12000000</v>
      </c>
      <c r="L29" s="16">
        <v>11900000</v>
      </c>
      <c r="M29" s="17">
        <f t="shared" si="0"/>
        <v>1.008</v>
      </c>
      <c r="N29" s="15">
        <f t="shared" si="1"/>
        <v>100</v>
      </c>
      <c r="O29" s="17">
        <f t="shared" si="2"/>
        <v>0.292</v>
      </c>
      <c r="P29" s="17">
        <f t="shared" si="3"/>
        <v>0.303</v>
      </c>
      <c r="Q29" s="11"/>
      <c r="R29" s="5"/>
      <c r="S29" s="5"/>
      <c r="T29" s="5"/>
      <c r="U29" s="5"/>
      <c r="V29" s="5"/>
      <c r="W29" s="5"/>
      <c r="X29" s="5"/>
      <c r="Y29" s="5"/>
    </row>
    <row r="30" spans="1:25" ht="17.25">
      <c r="A30" s="11">
        <v>4</v>
      </c>
      <c r="B30" s="10" t="s">
        <v>21</v>
      </c>
      <c r="C30" s="15">
        <f>(C28+C29)</f>
        <v>12540000</v>
      </c>
      <c r="D30" s="15">
        <f>(D28+D29)</f>
        <v>0</v>
      </c>
      <c r="E30" s="15">
        <f>(E28+E29)</f>
        <v>12540000</v>
      </c>
      <c r="F30" s="22">
        <v>0</v>
      </c>
      <c r="G30" s="15">
        <f>(G28+G29)</f>
        <v>540000</v>
      </c>
      <c r="H30" s="15">
        <f>(H28+H29)</f>
        <v>12000000</v>
      </c>
      <c r="I30" s="15">
        <f t="shared" si="4"/>
        <v>4</v>
      </c>
      <c r="J30" s="15" t="str">
        <f t="shared" si="5"/>
        <v>仕入計</v>
      </c>
      <c r="K30" s="15">
        <f>(D30+H30)</f>
        <v>12000000</v>
      </c>
      <c r="L30" s="16">
        <v>11900000</v>
      </c>
      <c r="M30" s="17">
        <f t="shared" si="0"/>
        <v>1.008</v>
      </c>
      <c r="N30" s="15">
        <f t="shared" si="1"/>
        <v>100</v>
      </c>
      <c r="O30" s="17">
        <f t="shared" si="2"/>
        <v>0.292</v>
      </c>
      <c r="P30" s="17">
        <f t="shared" si="3"/>
        <v>0.303</v>
      </c>
      <c r="Q30" s="11"/>
      <c r="R30" s="5"/>
      <c r="S30" s="5"/>
      <c r="T30" s="5"/>
      <c r="U30" s="5"/>
      <c r="V30" s="5"/>
      <c r="W30" s="5"/>
      <c r="X30" s="5"/>
      <c r="Y30" s="5"/>
    </row>
    <row r="31" spans="1:25" ht="17.25">
      <c r="A31" s="23">
        <v>5</v>
      </c>
      <c r="B31" s="24" t="s">
        <v>22</v>
      </c>
      <c r="C31" s="25">
        <v>0</v>
      </c>
      <c r="D31" s="19"/>
      <c r="E31" s="19">
        <f>(C31-D31)</f>
        <v>0</v>
      </c>
      <c r="F31" s="26">
        <v>1</v>
      </c>
      <c r="G31" s="19">
        <f>IF((F31=1),0,TRUNC(((E31*3)/103)))</f>
        <v>0</v>
      </c>
      <c r="H31" s="19">
        <f>(E31-G31)</f>
        <v>0</v>
      </c>
      <c r="I31" s="19">
        <f t="shared" si="4"/>
        <v>5</v>
      </c>
      <c r="J31" s="19" t="str">
        <f t="shared" si="5"/>
        <v>期末柵卸</v>
      </c>
      <c r="K31" s="19">
        <f>(D31+H31)</f>
        <v>0</v>
      </c>
      <c r="L31" s="25">
        <v>0</v>
      </c>
      <c r="M31" s="21">
        <f t="shared" si="0"/>
      </c>
      <c r="N31" s="19">
        <f t="shared" si="1"/>
      </c>
      <c r="O31" s="21">
        <f t="shared" si="2"/>
      </c>
      <c r="P31" s="21">
        <f t="shared" si="3"/>
      </c>
      <c r="Q31" s="11"/>
      <c r="R31" s="5"/>
      <c r="S31" s="5"/>
      <c r="T31" s="5"/>
      <c r="U31" s="5"/>
      <c r="V31" s="5"/>
      <c r="W31" s="5"/>
      <c r="X31" s="5"/>
      <c r="Y31" s="5"/>
    </row>
    <row r="32" spans="1:25" ht="17.25">
      <c r="A32" s="23">
        <v>6</v>
      </c>
      <c r="B32" s="24" t="s">
        <v>23</v>
      </c>
      <c r="C32" s="19">
        <f>(C30-C31)</f>
        <v>12540000</v>
      </c>
      <c r="D32" s="19">
        <f>(D30-D31)</f>
        <v>0</v>
      </c>
      <c r="E32" s="19">
        <f>(E30-E31)</f>
        <v>12540000</v>
      </c>
      <c r="F32" s="27"/>
      <c r="G32" s="19">
        <f>(G30-G31)</f>
        <v>540000</v>
      </c>
      <c r="H32" s="19">
        <f>(H30-H31)</f>
        <v>12000000</v>
      </c>
      <c r="I32" s="19">
        <f t="shared" si="4"/>
        <v>6</v>
      </c>
      <c r="J32" s="19" t="str">
        <f t="shared" si="5"/>
        <v>売上原価</v>
      </c>
      <c r="K32" s="19">
        <f>(D32+H32)</f>
        <v>12000000</v>
      </c>
      <c r="L32" s="25">
        <f>L28+L30-L31</f>
        <v>11900000</v>
      </c>
      <c r="M32" s="21">
        <f t="shared" si="0"/>
        <v>1.008</v>
      </c>
      <c r="N32" s="19">
        <f t="shared" si="1"/>
        <v>100</v>
      </c>
      <c r="O32" s="21">
        <f t="shared" si="2"/>
        <v>0.292</v>
      </c>
      <c r="P32" s="21">
        <f t="shared" si="3"/>
        <v>0.303</v>
      </c>
      <c r="Q32" s="11"/>
      <c r="R32" s="5"/>
      <c r="S32" s="5"/>
      <c r="T32" s="5"/>
      <c r="U32" s="5"/>
      <c r="V32" s="5"/>
      <c r="W32" s="5"/>
      <c r="X32" s="5"/>
      <c r="Y32" s="5"/>
    </row>
    <row r="33" spans="1:25" ht="17.25">
      <c r="A33" s="23">
        <v>7</v>
      </c>
      <c r="B33" s="24" t="s">
        <v>24</v>
      </c>
      <c r="C33" s="19">
        <f>(C25-C32)</f>
        <v>30390000</v>
      </c>
      <c r="D33" s="19">
        <f>(D25-D32)</f>
        <v>0</v>
      </c>
      <c r="E33" s="19">
        <f>(E25-E32)</f>
        <v>30390000</v>
      </c>
      <c r="F33" s="19"/>
      <c r="G33" s="19">
        <f>(G25-G32)</f>
        <v>1390000</v>
      </c>
      <c r="H33" s="19">
        <f>(H25-H32)</f>
        <v>29000000</v>
      </c>
      <c r="I33" s="19">
        <f t="shared" si="4"/>
        <v>7</v>
      </c>
      <c r="J33" s="19" t="str">
        <f t="shared" si="5"/>
        <v>売上総利益</v>
      </c>
      <c r="K33" s="19">
        <f>(K27-K32)</f>
        <v>29093073</v>
      </c>
      <c r="L33" s="19">
        <f>(L27-L32)</f>
        <v>27356300</v>
      </c>
      <c r="M33" s="21">
        <f t="shared" si="0"/>
        <v>1.063</v>
      </c>
      <c r="N33" s="19">
        <f t="shared" si="1"/>
        <v>1736</v>
      </c>
      <c r="O33" s="21">
        <f t="shared" si="2"/>
        <v>0.708</v>
      </c>
      <c r="P33" s="21">
        <f t="shared" si="3"/>
        <v>0.697</v>
      </c>
      <c r="Q33" s="11"/>
      <c r="R33" s="5"/>
      <c r="S33" s="5"/>
      <c r="T33" s="5"/>
      <c r="U33" s="5"/>
      <c r="V33" s="5"/>
      <c r="W33" s="5"/>
      <c r="X33" s="5"/>
      <c r="Y33" s="5"/>
    </row>
    <row r="34" spans="1:25" ht="17.25">
      <c r="A34" s="11">
        <v>8</v>
      </c>
      <c r="B34" s="10" t="s">
        <v>25</v>
      </c>
      <c r="C34" s="16">
        <v>834000</v>
      </c>
      <c r="D34" s="15"/>
      <c r="E34" s="15">
        <f aca="true" t="shared" si="6" ref="E34:E58">(C34-D34)</f>
        <v>834000</v>
      </c>
      <c r="F34" s="16">
        <v>1</v>
      </c>
      <c r="G34" s="15">
        <f>IF((F34=1),0,TRUNC(((E34*3)/103)+((E34*5)/105)))</f>
        <v>0</v>
      </c>
      <c r="H34" s="15">
        <f>(C34-G34)</f>
        <v>834000</v>
      </c>
      <c r="I34" s="15">
        <f t="shared" si="4"/>
        <v>8</v>
      </c>
      <c r="J34" s="15" t="str">
        <f t="shared" si="5"/>
        <v>公租公課</v>
      </c>
      <c r="K34" s="15">
        <f>H34</f>
        <v>834000</v>
      </c>
      <c r="L34" s="16">
        <v>654000</v>
      </c>
      <c r="M34" s="17">
        <f t="shared" si="0"/>
        <v>1.275</v>
      </c>
      <c r="N34" s="15">
        <f t="shared" si="1"/>
        <v>180</v>
      </c>
      <c r="O34" s="17">
        <f t="shared" si="2"/>
        <v>0.02</v>
      </c>
      <c r="P34" s="17">
        <f t="shared" si="3"/>
        <v>0.017</v>
      </c>
      <c r="Q34" s="11"/>
      <c r="R34" s="5"/>
      <c r="S34" s="5"/>
      <c r="T34" s="5"/>
      <c r="U34" s="5"/>
      <c r="V34" s="5"/>
      <c r="W34" s="5"/>
      <c r="X34" s="5"/>
      <c r="Y34" s="5"/>
    </row>
    <row r="35" spans="1:25" ht="17.25">
      <c r="A35" s="11">
        <v>9</v>
      </c>
      <c r="B35" s="10" t="s">
        <v>26</v>
      </c>
      <c r="C35" s="16"/>
      <c r="D35" s="16"/>
      <c r="E35" s="15">
        <f t="shared" si="6"/>
        <v>0</v>
      </c>
      <c r="F35" s="16">
        <v>0</v>
      </c>
      <c r="G35" s="15">
        <f>IF((F35=1),0,TRUNC(((D35*3)/103)+((E35*5)/105)))</f>
        <v>0</v>
      </c>
      <c r="H35" s="15">
        <f aca="true" t="shared" si="7" ref="H35:H58">(C35-G35)</f>
        <v>0</v>
      </c>
      <c r="I35" s="15">
        <f t="shared" si="4"/>
        <v>9</v>
      </c>
      <c r="J35" s="15" t="str">
        <f t="shared" si="5"/>
        <v>荷造運賃</v>
      </c>
      <c r="K35" s="15">
        <f aca="true" t="shared" si="8" ref="K35:K58">H35</f>
        <v>0</v>
      </c>
      <c r="L35" s="16">
        <v>0</v>
      </c>
      <c r="M35" s="17">
        <f t="shared" si="0"/>
      </c>
      <c r="N35" s="15">
        <f t="shared" si="1"/>
      </c>
      <c r="O35" s="17">
        <f t="shared" si="2"/>
      </c>
      <c r="P35" s="17">
        <f t="shared" si="3"/>
      </c>
      <c r="Q35" s="11"/>
      <c r="R35" s="5"/>
      <c r="S35" s="5"/>
      <c r="T35" s="5"/>
      <c r="U35" s="5"/>
      <c r="V35" s="5"/>
      <c r="W35" s="5"/>
      <c r="X35" s="5"/>
      <c r="Y35" s="5"/>
    </row>
    <row r="36" spans="1:25" ht="17.25">
      <c r="A36" s="11">
        <v>10</v>
      </c>
      <c r="B36" s="10" t="s">
        <v>27</v>
      </c>
      <c r="C36" s="16">
        <v>1200000</v>
      </c>
      <c r="D36" s="16">
        <v>200000</v>
      </c>
      <c r="E36" s="15">
        <f>(C36-D36)</f>
        <v>1000000</v>
      </c>
      <c r="F36" s="16">
        <v>0</v>
      </c>
      <c r="G36" s="15">
        <f aca="true" t="shared" si="9" ref="G36:G58">IF((F36=1),0,TRUNC(((D36*3)/103)+((E36*5)/105)))</f>
        <v>53444</v>
      </c>
      <c r="H36" s="15">
        <f t="shared" si="7"/>
        <v>1146556</v>
      </c>
      <c r="I36" s="15">
        <f t="shared" si="4"/>
        <v>10</v>
      </c>
      <c r="J36" s="15" t="str">
        <f t="shared" si="5"/>
        <v>水道光熱費</v>
      </c>
      <c r="K36" s="15">
        <f t="shared" si="8"/>
        <v>1146556</v>
      </c>
      <c r="L36" s="16">
        <v>1220776</v>
      </c>
      <c r="M36" s="17">
        <f t="shared" si="0"/>
        <v>0.939</v>
      </c>
      <c r="N36" s="15">
        <f t="shared" si="1"/>
        <v>-74</v>
      </c>
      <c r="O36" s="17">
        <f t="shared" si="2"/>
        <v>0.028</v>
      </c>
      <c r="P36" s="17">
        <f t="shared" si="3"/>
        <v>0.031</v>
      </c>
      <c r="Q36" s="11"/>
      <c r="R36" s="5"/>
      <c r="S36" s="5"/>
      <c r="T36" s="5"/>
      <c r="U36" s="5"/>
      <c r="V36" s="5"/>
      <c r="W36" s="5"/>
      <c r="X36" s="5"/>
      <c r="Y36" s="5"/>
    </row>
    <row r="37" spans="1:25" ht="17.25">
      <c r="A37" s="11">
        <v>11</v>
      </c>
      <c r="B37" s="10" t="s">
        <v>28</v>
      </c>
      <c r="C37" s="16">
        <v>1500000</v>
      </c>
      <c r="D37" s="16">
        <v>500000</v>
      </c>
      <c r="E37" s="15">
        <f t="shared" si="6"/>
        <v>1000000</v>
      </c>
      <c r="F37" s="16">
        <v>0</v>
      </c>
      <c r="G37" s="15">
        <f t="shared" si="9"/>
        <v>62182</v>
      </c>
      <c r="H37" s="15">
        <f t="shared" si="7"/>
        <v>1437818</v>
      </c>
      <c r="I37" s="15">
        <f t="shared" si="4"/>
        <v>11</v>
      </c>
      <c r="J37" s="15" t="str">
        <f t="shared" si="5"/>
        <v>旅費交通費</v>
      </c>
      <c r="K37" s="15">
        <f t="shared" si="8"/>
        <v>1437818</v>
      </c>
      <c r="L37" s="16">
        <v>1792937</v>
      </c>
      <c r="M37" s="17">
        <f t="shared" si="0"/>
        <v>0.802</v>
      </c>
      <c r="N37" s="15">
        <f t="shared" si="1"/>
        <v>-355</v>
      </c>
      <c r="O37" s="17">
        <f t="shared" si="2"/>
        <v>0.035</v>
      </c>
      <c r="P37" s="17">
        <f t="shared" si="3"/>
        <v>0.046</v>
      </c>
      <c r="Q37" s="11"/>
      <c r="R37" s="5"/>
      <c r="S37" s="5"/>
      <c r="T37" s="5"/>
      <c r="U37" s="5"/>
      <c r="V37" s="5"/>
      <c r="W37" s="5"/>
      <c r="X37" s="5"/>
      <c r="Y37" s="5"/>
    </row>
    <row r="38" spans="1:25" ht="17.25">
      <c r="A38" s="11">
        <v>12</v>
      </c>
      <c r="B38" s="10" t="s">
        <v>29</v>
      </c>
      <c r="C38" s="16">
        <v>1000000</v>
      </c>
      <c r="D38" s="16">
        <v>150000</v>
      </c>
      <c r="E38" s="15">
        <f t="shared" si="6"/>
        <v>850000</v>
      </c>
      <c r="F38" s="16">
        <v>0</v>
      </c>
      <c r="G38" s="15">
        <f t="shared" si="9"/>
        <v>44845</v>
      </c>
      <c r="H38" s="15">
        <f t="shared" si="7"/>
        <v>955155</v>
      </c>
      <c r="I38" s="15">
        <f t="shared" si="4"/>
        <v>12</v>
      </c>
      <c r="J38" s="15" t="str">
        <f t="shared" si="5"/>
        <v>通信費</v>
      </c>
      <c r="K38" s="15">
        <f t="shared" si="8"/>
        <v>955155</v>
      </c>
      <c r="L38" s="16">
        <v>414657</v>
      </c>
      <c r="M38" s="17">
        <f t="shared" si="0"/>
        <v>2.303</v>
      </c>
      <c r="N38" s="15">
        <f t="shared" si="1"/>
        <v>540</v>
      </c>
      <c r="O38" s="17">
        <f t="shared" si="2"/>
        <v>0.023</v>
      </c>
      <c r="P38" s="17">
        <f t="shared" si="3"/>
        <v>0.011</v>
      </c>
      <c r="Q38" s="11"/>
      <c r="R38" s="5"/>
      <c r="S38" s="5"/>
      <c r="T38" s="5"/>
      <c r="U38" s="5"/>
      <c r="V38" s="5"/>
      <c r="W38" s="5"/>
      <c r="X38" s="5"/>
      <c r="Y38" s="5"/>
    </row>
    <row r="39" spans="1:25" ht="17.25">
      <c r="A39" s="11">
        <v>13</v>
      </c>
      <c r="B39" s="10" t="s">
        <v>30</v>
      </c>
      <c r="C39" s="16"/>
      <c r="D39" s="16"/>
      <c r="E39" s="15">
        <f t="shared" si="6"/>
        <v>0</v>
      </c>
      <c r="F39" s="16">
        <v>0</v>
      </c>
      <c r="G39" s="15">
        <f t="shared" si="9"/>
        <v>0</v>
      </c>
      <c r="H39" s="15">
        <f t="shared" si="7"/>
        <v>0</v>
      </c>
      <c r="I39" s="15">
        <f t="shared" si="4"/>
        <v>13</v>
      </c>
      <c r="J39" s="15" t="str">
        <f t="shared" si="5"/>
        <v>広告宣伝費</v>
      </c>
      <c r="K39" s="15">
        <f t="shared" si="8"/>
        <v>0</v>
      </c>
      <c r="L39" s="16">
        <v>0</v>
      </c>
      <c r="M39" s="17">
        <f t="shared" si="0"/>
      </c>
      <c r="N39" s="15">
        <f t="shared" si="1"/>
      </c>
      <c r="O39" s="17">
        <f t="shared" si="2"/>
      </c>
      <c r="P39" s="17">
        <f t="shared" si="3"/>
      </c>
      <c r="Q39" s="11"/>
      <c r="R39" s="5"/>
      <c r="S39" s="5"/>
      <c r="T39" s="5"/>
      <c r="U39" s="5"/>
      <c r="V39" s="5"/>
      <c r="W39" s="5"/>
      <c r="X39" s="5"/>
      <c r="Y39" s="5"/>
    </row>
    <row r="40" spans="1:25" ht="17.25">
      <c r="A40" s="11">
        <v>14</v>
      </c>
      <c r="B40" s="10" t="s">
        <v>31</v>
      </c>
      <c r="C40" s="16">
        <v>2500000</v>
      </c>
      <c r="D40" s="16">
        <v>200000</v>
      </c>
      <c r="E40" s="15">
        <f t="shared" si="6"/>
        <v>2300000</v>
      </c>
      <c r="F40" s="16">
        <v>0</v>
      </c>
      <c r="G40" s="15">
        <f t="shared" si="9"/>
        <v>115349</v>
      </c>
      <c r="H40" s="15">
        <f t="shared" si="7"/>
        <v>2384651</v>
      </c>
      <c r="I40" s="15">
        <f t="shared" si="4"/>
        <v>14</v>
      </c>
      <c r="J40" s="15" t="str">
        <f t="shared" si="5"/>
        <v>接待交際費</v>
      </c>
      <c r="K40" s="15">
        <f t="shared" si="8"/>
        <v>2384651</v>
      </c>
      <c r="L40" s="16">
        <v>2051831</v>
      </c>
      <c r="M40" s="17">
        <f t="shared" si="0"/>
        <v>1.162</v>
      </c>
      <c r="N40" s="15">
        <f t="shared" si="1"/>
        <v>332</v>
      </c>
      <c r="O40" s="17">
        <f t="shared" si="2"/>
        <v>0.058</v>
      </c>
      <c r="P40" s="17">
        <f t="shared" si="3"/>
        <v>0.052</v>
      </c>
      <c r="Q40" s="11"/>
      <c r="R40" s="5"/>
      <c r="S40" s="5"/>
      <c r="T40" s="5"/>
      <c r="U40" s="5"/>
      <c r="V40" s="5"/>
      <c r="W40" s="5"/>
      <c r="X40" s="5"/>
      <c r="Y40" s="5"/>
    </row>
    <row r="41" spans="1:25" ht="17.25">
      <c r="A41" s="11">
        <v>15</v>
      </c>
      <c r="B41" s="10" t="s">
        <v>32</v>
      </c>
      <c r="C41" s="16">
        <v>250000</v>
      </c>
      <c r="D41" s="16"/>
      <c r="E41" s="15">
        <f t="shared" si="6"/>
        <v>250000</v>
      </c>
      <c r="F41" s="16">
        <v>1</v>
      </c>
      <c r="G41" s="15">
        <f t="shared" si="9"/>
        <v>0</v>
      </c>
      <c r="H41" s="15">
        <f t="shared" si="7"/>
        <v>250000</v>
      </c>
      <c r="I41" s="15">
        <f t="shared" si="4"/>
        <v>15</v>
      </c>
      <c r="J41" s="15" t="str">
        <f t="shared" si="5"/>
        <v>損害保険料</v>
      </c>
      <c r="K41" s="15">
        <f t="shared" si="8"/>
        <v>250000</v>
      </c>
      <c r="L41" s="16">
        <v>315420</v>
      </c>
      <c r="M41" s="17">
        <f t="shared" si="0"/>
        <v>0.793</v>
      </c>
      <c r="N41" s="15">
        <f t="shared" si="1"/>
        <v>-65</v>
      </c>
      <c r="O41" s="17">
        <f t="shared" si="2"/>
        <v>0.006</v>
      </c>
      <c r="P41" s="17">
        <f t="shared" si="3"/>
        <v>0.008</v>
      </c>
      <c r="Q41" s="11"/>
      <c r="R41" s="5"/>
      <c r="S41" s="5"/>
      <c r="T41" s="5"/>
      <c r="U41" s="5"/>
      <c r="V41" s="5"/>
      <c r="W41" s="5"/>
      <c r="X41" s="5"/>
      <c r="Y41" s="5"/>
    </row>
    <row r="42" spans="1:25" ht="17.25">
      <c r="A42" s="11">
        <v>16</v>
      </c>
      <c r="B42" s="10" t="s">
        <v>33</v>
      </c>
      <c r="C42" s="16">
        <v>350000</v>
      </c>
      <c r="D42" s="16">
        <v>100000</v>
      </c>
      <c r="E42" s="15">
        <f t="shared" si="6"/>
        <v>250000</v>
      </c>
      <c r="F42" s="16">
        <v>0</v>
      </c>
      <c r="G42" s="15">
        <f t="shared" si="9"/>
        <v>14817</v>
      </c>
      <c r="H42" s="15">
        <f t="shared" si="7"/>
        <v>335183</v>
      </c>
      <c r="I42" s="15">
        <f t="shared" si="4"/>
        <v>16</v>
      </c>
      <c r="J42" s="15" t="str">
        <f t="shared" si="5"/>
        <v>修繕費</v>
      </c>
      <c r="K42" s="15">
        <f t="shared" si="8"/>
        <v>335183</v>
      </c>
      <c r="L42" s="16">
        <v>276339</v>
      </c>
      <c r="M42" s="17">
        <f t="shared" si="0"/>
        <v>1.213</v>
      </c>
      <c r="N42" s="15">
        <f t="shared" si="1"/>
        <v>58</v>
      </c>
      <c r="O42" s="17">
        <f t="shared" si="2"/>
        <v>0.008</v>
      </c>
      <c r="P42" s="17">
        <f t="shared" si="3"/>
        <v>0.007</v>
      </c>
      <c r="Q42" s="11"/>
      <c r="R42" s="5"/>
      <c r="S42" s="5"/>
      <c r="T42" s="5"/>
      <c r="U42" s="5"/>
      <c r="V42" s="5"/>
      <c r="W42" s="5"/>
      <c r="X42" s="5"/>
      <c r="Y42" s="5"/>
    </row>
    <row r="43" spans="1:25" ht="17.25">
      <c r="A43" s="11">
        <v>17</v>
      </c>
      <c r="B43" s="10" t="s">
        <v>34</v>
      </c>
      <c r="C43" s="16">
        <v>200000</v>
      </c>
      <c r="D43" s="16">
        <v>50000</v>
      </c>
      <c r="E43" s="15">
        <f t="shared" si="6"/>
        <v>150000</v>
      </c>
      <c r="F43" s="16">
        <v>0</v>
      </c>
      <c r="G43" s="15">
        <f t="shared" si="9"/>
        <v>8599</v>
      </c>
      <c r="H43" s="15">
        <f t="shared" si="7"/>
        <v>191401</v>
      </c>
      <c r="I43" s="15">
        <f t="shared" si="4"/>
        <v>17</v>
      </c>
      <c r="J43" s="15" t="str">
        <f t="shared" si="5"/>
        <v>消耗品費</v>
      </c>
      <c r="K43" s="15">
        <f t="shared" si="8"/>
        <v>191401</v>
      </c>
      <c r="L43" s="16">
        <v>261200</v>
      </c>
      <c r="M43" s="17">
        <f t="shared" si="0"/>
        <v>0.733</v>
      </c>
      <c r="N43" s="15">
        <f t="shared" si="1"/>
        <v>-69</v>
      </c>
      <c r="O43" s="17">
        <f t="shared" si="2"/>
        <v>0.005</v>
      </c>
      <c r="P43" s="17">
        <f t="shared" si="3"/>
        <v>0.007</v>
      </c>
      <c r="Q43" s="11"/>
      <c r="R43" s="5"/>
      <c r="S43" s="5"/>
      <c r="T43" s="5"/>
      <c r="U43" s="5"/>
      <c r="V43" s="5"/>
      <c r="W43" s="5"/>
      <c r="X43" s="5"/>
      <c r="Y43" s="5"/>
    </row>
    <row r="44" spans="1:25" ht="17.25">
      <c r="A44" s="11">
        <v>18</v>
      </c>
      <c r="B44" s="10" t="s">
        <v>35</v>
      </c>
      <c r="C44" s="16"/>
      <c r="D44" s="16"/>
      <c r="E44" s="15">
        <f t="shared" si="6"/>
        <v>0</v>
      </c>
      <c r="F44" s="16">
        <v>1</v>
      </c>
      <c r="G44" s="15">
        <f t="shared" si="9"/>
        <v>0</v>
      </c>
      <c r="H44" s="15">
        <f t="shared" si="7"/>
        <v>0</v>
      </c>
      <c r="I44" s="15">
        <f t="shared" si="4"/>
        <v>18</v>
      </c>
      <c r="J44" s="15" t="str">
        <f t="shared" si="5"/>
        <v>減価償却費</v>
      </c>
      <c r="K44" s="15">
        <f t="shared" si="8"/>
        <v>0</v>
      </c>
      <c r="L44" s="16">
        <v>700000</v>
      </c>
      <c r="M44" s="17">
        <f t="shared" si="0"/>
      </c>
      <c r="N44" s="15">
        <f t="shared" si="1"/>
      </c>
      <c r="O44" s="17">
        <f t="shared" si="2"/>
      </c>
      <c r="P44" s="17">
        <f t="shared" si="3"/>
        <v>0.018</v>
      </c>
      <c r="Q44" s="11"/>
      <c r="R44" s="5"/>
      <c r="S44" s="5"/>
      <c r="T44" s="5"/>
      <c r="U44" s="5"/>
      <c r="V44" s="5"/>
      <c r="W44" s="5"/>
      <c r="X44" s="5"/>
      <c r="Y44" s="5"/>
    </row>
    <row r="45" spans="1:25" ht="17.25">
      <c r="A45" s="11">
        <v>19</v>
      </c>
      <c r="B45" s="10" t="s">
        <v>36</v>
      </c>
      <c r="C45" s="16">
        <v>1000000</v>
      </c>
      <c r="D45" s="16">
        <v>150000</v>
      </c>
      <c r="E45" s="15">
        <f t="shared" si="6"/>
        <v>850000</v>
      </c>
      <c r="F45" s="16">
        <v>0</v>
      </c>
      <c r="G45" s="15">
        <f t="shared" si="9"/>
        <v>44845</v>
      </c>
      <c r="H45" s="15">
        <f t="shared" si="7"/>
        <v>955155</v>
      </c>
      <c r="I45" s="15">
        <f t="shared" si="4"/>
        <v>19</v>
      </c>
      <c r="J45" s="15" t="str">
        <f t="shared" si="5"/>
        <v>福利厚生費</v>
      </c>
      <c r="K45" s="15">
        <f t="shared" si="8"/>
        <v>955155</v>
      </c>
      <c r="L45" s="16">
        <v>884688</v>
      </c>
      <c r="M45" s="17">
        <f t="shared" si="0"/>
        <v>1.08</v>
      </c>
      <c r="N45" s="15">
        <f t="shared" si="1"/>
        <v>70</v>
      </c>
      <c r="O45" s="17">
        <f t="shared" si="2"/>
        <v>0.023</v>
      </c>
      <c r="P45" s="17">
        <f t="shared" si="3"/>
        <v>0.023</v>
      </c>
      <c r="Q45" s="11"/>
      <c r="R45" s="5"/>
      <c r="S45" s="5"/>
      <c r="T45" s="5"/>
      <c r="U45" s="5"/>
      <c r="V45" s="5"/>
      <c r="W45" s="5"/>
      <c r="X45" s="5"/>
      <c r="Y45" s="5"/>
    </row>
    <row r="46" spans="1:25" ht="17.25">
      <c r="A46" s="11">
        <v>20</v>
      </c>
      <c r="B46" s="10" t="s">
        <v>37</v>
      </c>
      <c r="C46" s="16">
        <v>5000000</v>
      </c>
      <c r="D46" s="16">
        <v>1500000</v>
      </c>
      <c r="E46" s="15">
        <f t="shared" si="6"/>
        <v>3500000</v>
      </c>
      <c r="F46" s="16">
        <v>1</v>
      </c>
      <c r="G46" s="15">
        <f t="shared" si="9"/>
        <v>0</v>
      </c>
      <c r="H46" s="15">
        <f t="shared" si="7"/>
        <v>5000000</v>
      </c>
      <c r="I46" s="15">
        <f t="shared" si="4"/>
        <v>20</v>
      </c>
      <c r="J46" s="15" t="str">
        <f t="shared" si="5"/>
        <v>給料賃金</v>
      </c>
      <c r="K46" s="15">
        <f t="shared" si="8"/>
        <v>5000000</v>
      </c>
      <c r="L46" s="16">
        <v>4000000</v>
      </c>
      <c r="M46" s="17">
        <f t="shared" si="0"/>
        <v>1.25</v>
      </c>
      <c r="N46" s="15">
        <f t="shared" si="1"/>
        <v>1000</v>
      </c>
      <c r="O46" s="17">
        <f t="shared" si="2"/>
        <v>0.122</v>
      </c>
      <c r="P46" s="17">
        <f t="shared" si="3"/>
        <v>0.102</v>
      </c>
      <c r="Q46" s="11"/>
      <c r="R46" s="5"/>
      <c r="S46" s="5"/>
      <c r="T46" s="5"/>
      <c r="U46" s="5"/>
      <c r="V46" s="5"/>
      <c r="W46" s="5"/>
      <c r="X46" s="5"/>
      <c r="Y46" s="5"/>
    </row>
    <row r="47" spans="1:25" ht="17.25">
      <c r="A47" s="11">
        <v>21</v>
      </c>
      <c r="B47" s="10" t="s">
        <v>38</v>
      </c>
      <c r="C47" s="16">
        <v>500000</v>
      </c>
      <c r="D47" s="16"/>
      <c r="E47" s="15">
        <f t="shared" si="6"/>
        <v>500000</v>
      </c>
      <c r="F47" s="16">
        <v>1</v>
      </c>
      <c r="G47" s="15">
        <f t="shared" si="9"/>
        <v>0</v>
      </c>
      <c r="H47" s="15">
        <f t="shared" si="7"/>
        <v>500000</v>
      </c>
      <c r="I47" s="15">
        <f t="shared" si="4"/>
        <v>21</v>
      </c>
      <c r="J47" s="15" t="str">
        <f t="shared" si="5"/>
        <v>利子割引料</v>
      </c>
      <c r="K47" s="15">
        <f t="shared" si="8"/>
        <v>500000</v>
      </c>
      <c r="L47" s="16">
        <v>500000</v>
      </c>
      <c r="M47" s="17">
        <f t="shared" si="0"/>
        <v>1</v>
      </c>
      <c r="N47" s="15">
        <f t="shared" si="1"/>
        <v>0</v>
      </c>
      <c r="O47" s="17">
        <f t="shared" si="2"/>
        <v>0.012</v>
      </c>
      <c r="P47" s="17">
        <f t="shared" si="3"/>
        <v>0.013</v>
      </c>
      <c r="Q47" s="11"/>
      <c r="R47" s="5"/>
      <c r="S47" s="5"/>
      <c r="T47" s="5"/>
      <c r="U47" s="5"/>
      <c r="V47" s="5"/>
      <c r="W47" s="5"/>
      <c r="X47" s="5"/>
      <c r="Y47" s="5"/>
    </row>
    <row r="48" spans="1:25" ht="17.25">
      <c r="A48" s="11">
        <v>22</v>
      </c>
      <c r="B48" s="10" t="s">
        <v>39</v>
      </c>
      <c r="C48" s="16">
        <v>2500000</v>
      </c>
      <c r="D48" s="16">
        <v>500000</v>
      </c>
      <c r="E48" s="15">
        <f t="shared" si="6"/>
        <v>2000000</v>
      </c>
      <c r="F48" s="16">
        <v>0</v>
      </c>
      <c r="G48" s="15">
        <f t="shared" si="9"/>
        <v>109801</v>
      </c>
      <c r="H48" s="15">
        <f t="shared" si="7"/>
        <v>2390199</v>
      </c>
      <c r="I48" s="15">
        <f t="shared" si="4"/>
        <v>22</v>
      </c>
      <c r="J48" s="15" t="str">
        <f t="shared" si="5"/>
        <v>地代家賃</v>
      </c>
      <c r="K48" s="15">
        <f t="shared" si="8"/>
        <v>2390199</v>
      </c>
      <c r="L48" s="16">
        <v>1789526</v>
      </c>
      <c r="M48" s="17">
        <f t="shared" si="0"/>
        <v>1.336</v>
      </c>
      <c r="N48" s="15">
        <f t="shared" si="1"/>
        <v>600</v>
      </c>
      <c r="O48" s="17">
        <f t="shared" si="2"/>
        <v>0.058</v>
      </c>
      <c r="P48" s="17">
        <f t="shared" si="3"/>
        <v>0.046</v>
      </c>
      <c r="Q48" s="11"/>
      <c r="R48" s="5"/>
      <c r="S48" s="5"/>
      <c r="T48" s="5"/>
      <c r="U48" s="5"/>
      <c r="V48" s="5"/>
      <c r="W48" s="5"/>
      <c r="X48" s="5"/>
      <c r="Y48" s="5"/>
    </row>
    <row r="49" spans="1:25" ht="17.25">
      <c r="A49" s="11">
        <v>23</v>
      </c>
      <c r="B49" s="10" t="s">
        <v>40</v>
      </c>
      <c r="C49" s="16">
        <v>3000000</v>
      </c>
      <c r="D49" s="16">
        <v>500000</v>
      </c>
      <c r="E49" s="15">
        <f t="shared" si="6"/>
        <v>2500000</v>
      </c>
      <c r="F49" s="16">
        <v>0</v>
      </c>
      <c r="G49" s="15">
        <f t="shared" si="9"/>
        <v>133610</v>
      </c>
      <c r="H49" s="15">
        <f t="shared" si="7"/>
        <v>2866390</v>
      </c>
      <c r="I49" s="15">
        <f t="shared" si="4"/>
        <v>23</v>
      </c>
      <c r="J49" s="15" t="str">
        <f t="shared" si="5"/>
        <v>人材派遣費</v>
      </c>
      <c r="K49" s="15">
        <f t="shared" si="8"/>
        <v>2866390</v>
      </c>
      <c r="L49" s="16">
        <v>1680000</v>
      </c>
      <c r="M49" s="17">
        <f t="shared" si="0"/>
        <v>1.706</v>
      </c>
      <c r="N49" s="15">
        <f t="shared" si="1"/>
        <v>1186</v>
      </c>
      <c r="O49" s="17">
        <f t="shared" si="2"/>
        <v>0.07</v>
      </c>
      <c r="P49" s="17">
        <f t="shared" si="3"/>
        <v>0.043</v>
      </c>
      <c r="Q49" s="11"/>
      <c r="R49" s="5"/>
      <c r="S49" s="5"/>
      <c r="T49" s="5"/>
      <c r="U49" s="5"/>
      <c r="V49" s="5"/>
      <c r="W49" s="5"/>
      <c r="X49" s="5"/>
      <c r="Y49" s="5"/>
    </row>
    <row r="50" spans="1:25" ht="17.25">
      <c r="A50" s="11">
        <v>24</v>
      </c>
      <c r="B50" s="10" t="s">
        <v>41</v>
      </c>
      <c r="C50" s="16"/>
      <c r="D50" s="16"/>
      <c r="E50" s="15">
        <f t="shared" si="6"/>
        <v>0</v>
      </c>
      <c r="F50" s="16">
        <v>1</v>
      </c>
      <c r="G50" s="15">
        <f t="shared" si="9"/>
        <v>0</v>
      </c>
      <c r="H50" s="15">
        <f t="shared" si="7"/>
        <v>0</v>
      </c>
      <c r="I50" s="15">
        <f t="shared" si="4"/>
        <v>24</v>
      </c>
      <c r="J50" s="15" t="str">
        <f t="shared" si="5"/>
        <v>退職金</v>
      </c>
      <c r="K50" s="15">
        <f t="shared" si="8"/>
        <v>0</v>
      </c>
      <c r="L50" s="16">
        <v>0</v>
      </c>
      <c r="M50" s="17">
        <f t="shared" si="0"/>
      </c>
      <c r="N50" s="15">
        <f t="shared" si="1"/>
      </c>
      <c r="O50" s="17">
        <f t="shared" si="2"/>
      </c>
      <c r="P50" s="17">
        <f t="shared" si="3"/>
      </c>
      <c r="Q50" s="11"/>
      <c r="R50" s="5"/>
      <c r="S50" s="5"/>
      <c r="T50" s="5"/>
      <c r="U50" s="5"/>
      <c r="V50" s="5"/>
      <c r="W50" s="5"/>
      <c r="X50" s="5"/>
      <c r="Y50" s="5"/>
    </row>
    <row r="51" spans="1:25" ht="17.25">
      <c r="A51" s="11">
        <v>25</v>
      </c>
      <c r="B51" s="10" t="s">
        <v>42</v>
      </c>
      <c r="C51" s="16">
        <v>1200000</v>
      </c>
      <c r="D51" s="16">
        <v>300000</v>
      </c>
      <c r="E51" s="15">
        <f t="shared" si="6"/>
        <v>900000</v>
      </c>
      <c r="F51" s="16">
        <v>0</v>
      </c>
      <c r="G51" s="15">
        <f t="shared" si="9"/>
        <v>51595</v>
      </c>
      <c r="H51" s="15">
        <f t="shared" si="7"/>
        <v>1148405</v>
      </c>
      <c r="I51" s="15">
        <f t="shared" si="4"/>
        <v>25</v>
      </c>
      <c r="J51" s="15" t="str">
        <f t="shared" si="5"/>
        <v>研修費</v>
      </c>
      <c r="K51" s="15">
        <f t="shared" si="8"/>
        <v>1148405</v>
      </c>
      <c r="L51" s="16">
        <v>1356000</v>
      </c>
      <c r="M51" s="17">
        <f t="shared" si="0"/>
        <v>0.847</v>
      </c>
      <c r="N51" s="15">
        <f t="shared" si="1"/>
        <v>-207</v>
      </c>
      <c r="O51" s="17">
        <f t="shared" si="2"/>
        <v>0.028</v>
      </c>
      <c r="P51" s="17">
        <f t="shared" si="3"/>
        <v>0.035</v>
      </c>
      <c r="Q51" s="11"/>
      <c r="R51" s="5"/>
      <c r="S51" s="5"/>
      <c r="T51" s="5"/>
      <c r="U51" s="5"/>
      <c r="V51" s="5"/>
      <c r="W51" s="5"/>
      <c r="X51" s="5"/>
      <c r="Y51" s="5"/>
    </row>
    <row r="52" spans="1:25" ht="17.25">
      <c r="A52" s="11">
        <v>26</v>
      </c>
      <c r="B52" s="10" t="s">
        <v>43</v>
      </c>
      <c r="C52" s="16">
        <v>400000</v>
      </c>
      <c r="D52" s="16">
        <v>400000</v>
      </c>
      <c r="E52" s="15">
        <f t="shared" si="6"/>
        <v>0</v>
      </c>
      <c r="F52" s="16">
        <v>0</v>
      </c>
      <c r="G52" s="15">
        <f t="shared" si="9"/>
        <v>11650</v>
      </c>
      <c r="H52" s="15">
        <f t="shared" si="7"/>
        <v>388350</v>
      </c>
      <c r="I52" s="15">
        <f t="shared" si="4"/>
        <v>26</v>
      </c>
      <c r="J52" s="15" t="str">
        <f t="shared" si="5"/>
        <v>事務用品費</v>
      </c>
      <c r="K52" s="15">
        <f t="shared" si="8"/>
        <v>388350</v>
      </c>
      <c r="L52" s="16">
        <v>460258</v>
      </c>
      <c r="M52" s="17">
        <f t="shared" si="0"/>
        <v>0.844</v>
      </c>
      <c r="N52" s="15">
        <f t="shared" si="1"/>
        <v>-71</v>
      </c>
      <c r="O52" s="17">
        <f t="shared" si="2"/>
        <v>0.009</v>
      </c>
      <c r="P52" s="17">
        <f t="shared" si="3"/>
        <v>0.012</v>
      </c>
      <c r="Q52" s="11"/>
      <c r="R52" s="5"/>
      <c r="S52" s="5"/>
      <c r="T52" s="5"/>
      <c r="U52" s="5"/>
      <c r="V52" s="5"/>
      <c r="W52" s="5"/>
      <c r="X52" s="5"/>
      <c r="Y52" s="5"/>
    </row>
    <row r="53" spans="1:25" ht="17.25">
      <c r="A53" s="11">
        <v>27</v>
      </c>
      <c r="B53" s="10" t="s">
        <v>44</v>
      </c>
      <c r="C53" s="16">
        <v>150000</v>
      </c>
      <c r="D53" s="16">
        <v>30000</v>
      </c>
      <c r="E53" s="15">
        <f t="shared" si="6"/>
        <v>120000</v>
      </c>
      <c r="F53" s="16">
        <v>0</v>
      </c>
      <c r="G53" s="15">
        <f t="shared" si="9"/>
        <v>6588</v>
      </c>
      <c r="H53" s="15">
        <f t="shared" si="7"/>
        <v>143412</v>
      </c>
      <c r="I53" s="15">
        <f t="shared" si="4"/>
        <v>27</v>
      </c>
      <c r="J53" s="15" t="str">
        <f t="shared" si="5"/>
        <v>支払手数料</v>
      </c>
      <c r="K53" s="15">
        <f t="shared" si="8"/>
        <v>143412</v>
      </c>
      <c r="L53" s="16">
        <v>138975</v>
      </c>
      <c r="M53" s="17">
        <f t="shared" si="0"/>
        <v>1.032</v>
      </c>
      <c r="N53" s="15">
        <f t="shared" si="1"/>
        <v>4</v>
      </c>
      <c r="O53" s="17">
        <f t="shared" si="2"/>
        <v>0.003</v>
      </c>
      <c r="P53" s="17">
        <f t="shared" si="3"/>
        <v>0.004</v>
      </c>
      <c r="Q53" s="11"/>
      <c r="R53" s="5"/>
      <c r="S53" s="5"/>
      <c r="T53" s="5"/>
      <c r="U53" s="5"/>
      <c r="V53" s="5"/>
      <c r="W53" s="5"/>
      <c r="X53" s="5"/>
      <c r="Y53" s="5"/>
    </row>
    <row r="54" spans="1:25" ht="17.25">
      <c r="A54" s="11">
        <v>28</v>
      </c>
      <c r="B54" s="10" t="s">
        <v>45</v>
      </c>
      <c r="C54" s="16">
        <v>100000</v>
      </c>
      <c r="D54" s="16">
        <v>10000</v>
      </c>
      <c r="E54" s="15">
        <f t="shared" si="6"/>
        <v>90000</v>
      </c>
      <c r="F54" s="16">
        <v>1</v>
      </c>
      <c r="G54" s="15">
        <f t="shared" si="9"/>
        <v>0</v>
      </c>
      <c r="H54" s="15">
        <f t="shared" si="7"/>
        <v>100000</v>
      </c>
      <c r="I54" s="15">
        <f t="shared" si="4"/>
        <v>28</v>
      </c>
      <c r="J54" s="15" t="str">
        <f t="shared" si="5"/>
        <v>諸会費</v>
      </c>
      <c r="K54" s="15">
        <f t="shared" si="8"/>
        <v>100000</v>
      </c>
      <c r="L54" s="16">
        <v>120000</v>
      </c>
      <c r="M54" s="17">
        <f t="shared" si="0"/>
        <v>0.833</v>
      </c>
      <c r="N54" s="15">
        <f t="shared" si="1"/>
        <v>-20</v>
      </c>
      <c r="O54" s="17">
        <f t="shared" si="2"/>
        <v>0.002</v>
      </c>
      <c r="P54" s="17">
        <f t="shared" si="3"/>
        <v>0.003</v>
      </c>
      <c r="Q54" s="11"/>
      <c r="R54" s="5"/>
      <c r="S54" s="5"/>
      <c r="T54" s="5"/>
      <c r="U54" s="5"/>
      <c r="V54" s="5"/>
      <c r="W54" s="5"/>
      <c r="X54" s="5"/>
      <c r="Y54" s="5"/>
    </row>
    <row r="55" spans="1:25" ht="17.25">
      <c r="A55" s="11">
        <v>29</v>
      </c>
      <c r="B55" s="10" t="s">
        <v>46</v>
      </c>
      <c r="C55" s="16">
        <v>1200000</v>
      </c>
      <c r="D55" s="16">
        <v>300000</v>
      </c>
      <c r="E55" s="15">
        <f t="shared" si="6"/>
        <v>900000</v>
      </c>
      <c r="F55" s="16">
        <v>0</v>
      </c>
      <c r="G55" s="15">
        <f t="shared" si="9"/>
        <v>51595</v>
      </c>
      <c r="H55" s="15">
        <f t="shared" si="7"/>
        <v>1148405</v>
      </c>
      <c r="I55" s="15">
        <f t="shared" si="4"/>
        <v>29</v>
      </c>
      <c r="J55" s="15" t="str">
        <f t="shared" si="5"/>
        <v>賃借料</v>
      </c>
      <c r="K55" s="15">
        <f t="shared" si="8"/>
        <v>1148405</v>
      </c>
      <c r="L55" s="16">
        <v>1245368</v>
      </c>
      <c r="M55" s="17">
        <f t="shared" si="0"/>
        <v>0.922</v>
      </c>
      <c r="N55" s="15">
        <f t="shared" si="1"/>
        <v>-96</v>
      </c>
      <c r="O55" s="17">
        <f t="shared" si="2"/>
        <v>0.028</v>
      </c>
      <c r="P55" s="17">
        <f t="shared" si="3"/>
        <v>0.032</v>
      </c>
      <c r="Q55" s="11"/>
      <c r="R55" s="5"/>
      <c r="S55" s="5"/>
      <c r="T55" s="5"/>
      <c r="U55" s="5"/>
      <c r="V55" s="5"/>
      <c r="W55" s="5"/>
      <c r="X55" s="5"/>
      <c r="Y55" s="5"/>
    </row>
    <row r="56" spans="1:25" ht="17.25">
      <c r="A56" s="11">
        <v>30</v>
      </c>
      <c r="B56" s="10" t="s">
        <v>47</v>
      </c>
      <c r="C56" s="16">
        <v>350000</v>
      </c>
      <c r="D56" s="16"/>
      <c r="E56" s="15">
        <f t="shared" si="6"/>
        <v>350000</v>
      </c>
      <c r="F56" s="16">
        <v>1</v>
      </c>
      <c r="G56" s="15">
        <f t="shared" si="9"/>
        <v>0</v>
      </c>
      <c r="H56" s="15">
        <f t="shared" si="7"/>
        <v>350000</v>
      </c>
      <c r="I56" s="15">
        <f t="shared" si="4"/>
        <v>30</v>
      </c>
      <c r="J56" s="15" t="str">
        <f t="shared" si="5"/>
        <v>法定福利費</v>
      </c>
      <c r="K56" s="15">
        <f t="shared" si="8"/>
        <v>350000</v>
      </c>
      <c r="L56" s="16">
        <v>330000</v>
      </c>
      <c r="M56" s="17">
        <f t="shared" si="0"/>
        <v>1.061</v>
      </c>
      <c r="N56" s="15">
        <f t="shared" si="1"/>
        <v>20</v>
      </c>
      <c r="O56" s="17">
        <f t="shared" si="2"/>
        <v>0.009</v>
      </c>
      <c r="P56" s="17">
        <f t="shared" si="3"/>
        <v>0.008</v>
      </c>
      <c r="Q56" s="11"/>
      <c r="R56" s="5"/>
      <c r="S56" s="5"/>
      <c r="T56" s="5"/>
      <c r="U56" s="5"/>
      <c r="V56" s="5"/>
      <c r="W56" s="5"/>
      <c r="X56" s="5"/>
      <c r="Y56" s="5"/>
    </row>
    <row r="57" spans="1:25" ht="17.25">
      <c r="A57" s="11">
        <v>31</v>
      </c>
      <c r="B57" s="10" t="s">
        <v>48</v>
      </c>
      <c r="C57" s="16">
        <v>400000</v>
      </c>
      <c r="D57" s="16">
        <v>100000</v>
      </c>
      <c r="E57" s="15">
        <f t="shared" si="6"/>
        <v>300000</v>
      </c>
      <c r="F57" s="16">
        <v>0</v>
      </c>
      <c r="G57" s="15">
        <f t="shared" si="9"/>
        <v>17198</v>
      </c>
      <c r="H57" s="15">
        <f t="shared" si="7"/>
        <v>382802</v>
      </c>
      <c r="I57" s="15">
        <f t="shared" si="4"/>
        <v>31</v>
      </c>
      <c r="J57" s="15" t="str">
        <f t="shared" si="5"/>
        <v>会議費</v>
      </c>
      <c r="K57" s="15">
        <f t="shared" si="8"/>
        <v>382802</v>
      </c>
      <c r="L57" s="16">
        <v>352698</v>
      </c>
      <c r="M57" s="17">
        <f t="shared" si="0"/>
        <v>1.085</v>
      </c>
      <c r="N57" s="15">
        <f t="shared" si="1"/>
        <v>30</v>
      </c>
      <c r="O57" s="17">
        <f t="shared" si="2"/>
        <v>0.009</v>
      </c>
      <c r="P57" s="17">
        <f t="shared" si="3"/>
        <v>0.009</v>
      </c>
      <c r="Q57" s="11"/>
      <c r="R57" s="5"/>
      <c r="S57" s="5"/>
      <c r="T57" s="5"/>
      <c r="U57" s="5"/>
      <c r="V57" s="5"/>
      <c r="W57" s="5"/>
      <c r="X57" s="5"/>
      <c r="Y57" s="5"/>
    </row>
    <row r="58" spans="1:25" ht="17.25">
      <c r="A58" s="23">
        <v>32</v>
      </c>
      <c r="B58" s="24" t="s">
        <v>49</v>
      </c>
      <c r="C58" s="25">
        <v>500000</v>
      </c>
      <c r="D58" s="25">
        <v>0</v>
      </c>
      <c r="E58" s="19">
        <f t="shared" si="6"/>
        <v>500000</v>
      </c>
      <c r="F58" s="25">
        <v>0</v>
      </c>
      <c r="G58" s="19">
        <f t="shared" si="9"/>
        <v>23809</v>
      </c>
      <c r="H58" s="19">
        <f t="shared" si="7"/>
        <v>476191</v>
      </c>
      <c r="I58" s="19">
        <f t="shared" si="4"/>
        <v>32</v>
      </c>
      <c r="J58" s="19" t="str">
        <f t="shared" si="5"/>
        <v>雑費</v>
      </c>
      <c r="K58" s="34">
        <f t="shared" si="8"/>
        <v>476191</v>
      </c>
      <c r="L58" s="25">
        <v>465987</v>
      </c>
      <c r="M58" s="21">
        <f t="shared" si="0"/>
        <v>1.022</v>
      </c>
      <c r="N58" s="19">
        <f t="shared" si="1"/>
        <v>10</v>
      </c>
      <c r="O58" s="21">
        <f t="shared" si="2"/>
        <v>0.012</v>
      </c>
      <c r="P58" s="21">
        <f t="shared" si="3"/>
        <v>0.012</v>
      </c>
      <c r="Q58" s="11"/>
      <c r="R58" s="5"/>
      <c r="S58" s="5"/>
      <c r="T58" s="5"/>
      <c r="U58" s="5"/>
      <c r="V58" s="5"/>
      <c r="W58" s="5"/>
      <c r="X58" s="5"/>
      <c r="Y58" s="5"/>
    </row>
    <row r="59" spans="1:25" ht="17.25">
      <c r="A59" s="23">
        <v>33</v>
      </c>
      <c r="B59" s="24" t="s">
        <v>50</v>
      </c>
      <c r="C59" s="19">
        <f>SUM(C34:C58)</f>
        <v>24134000</v>
      </c>
      <c r="D59" s="19">
        <f>SUM(D34:D58)</f>
        <v>4990000</v>
      </c>
      <c r="E59" s="19">
        <f>SUM(E34:E58)</f>
        <v>19144000</v>
      </c>
      <c r="F59" s="25">
        <v>1</v>
      </c>
      <c r="G59" s="19">
        <f>SUM(G34:G58)</f>
        <v>749927</v>
      </c>
      <c r="H59" s="19">
        <f>SUM(H34:H58)</f>
        <v>23384073</v>
      </c>
      <c r="I59" s="19">
        <f t="shared" si="4"/>
        <v>33</v>
      </c>
      <c r="J59" s="19" t="str">
        <f t="shared" si="5"/>
        <v>経費計</v>
      </c>
      <c r="K59" s="19">
        <f>SUM(K34:K58)</f>
        <v>23384073</v>
      </c>
      <c r="L59" s="19">
        <f>SUM(L34:L58)</f>
        <v>21010660</v>
      </c>
      <c r="M59" s="21">
        <f t="shared" si="0"/>
        <v>1.113</v>
      </c>
      <c r="N59" s="19">
        <f t="shared" si="1"/>
        <v>2373</v>
      </c>
      <c r="O59" s="21">
        <f t="shared" si="2"/>
        <v>0.569</v>
      </c>
      <c r="P59" s="21">
        <f t="shared" si="3"/>
        <v>0.535</v>
      </c>
      <c r="Q59" s="11"/>
      <c r="R59" s="5"/>
      <c r="S59" s="5"/>
      <c r="T59" s="5"/>
      <c r="U59" s="5"/>
      <c r="V59" s="5"/>
      <c r="W59" s="5"/>
      <c r="X59" s="5"/>
      <c r="Y59" s="5"/>
    </row>
    <row r="60" spans="1:25" ht="17.25">
      <c r="A60" s="23">
        <v>34</v>
      </c>
      <c r="B60" s="24" t="s">
        <v>51</v>
      </c>
      <c r="C60" s="19">
        <f>(C33-C59)</f>
        <v>6256000</v>
      </c>
      <c r="D60" s="19">
        <f>(D33-D59)</f>
        <v>-4990000</v>
      </c>
      <c r="E60" s="19">
        <f>(E33-E59)</f>
        <v>11246000</v>
      </c>
      <c r="F60" s="25">
        <v>1</v>
      </c>
      <c r="G60" s="19">
        <f>(G33-G59)</f>
        <v>640073</v>
      </c>
      <c r="H60" s="19">
        <f>(H33-H59)</f>
        <v>5615927</v>
      </c>
      <c r="I60" s="19">
        <f t="shared" si="4"/>
        <v>34</v>
      </c>
      <c r="J60" s="19" t="str">
        <f t="shared" si="5"/>
        <v>差引金額</v>
      </c>
      <c r="K60" s="19">
        <f>(K33-K59)</f>
        <v>5709000</v>
      </c>
      <c r="L60" s="19">
        <f>(L33-L59)</f>
        <v>6345640</v>
      </c>
      <c r="M60" s="21">
        <f t="shared" si="0"/>
        <v>0.9</v>
      </c>
      <c r="N60" s="19">
        <f t="shared" si="1"/>
        <v>-636</v>
      </c>
      <c r="O60" s="21">
        <f t="shared" si="2"/>
        <v>0.139</v>
      </c>
      <c r="P60" s="21">
        <f t="shared" si="3"/>
        <v>0.162</v>
      </c>
      <c r="Q60" s="11"/>
      <c r="R60" s="5"/>
      <c r="S60" s="5"/>
      <c r="T60" s="5"/>
      <c r="U60" s="5"/>
      <c r="V60" s="5"/>
      <c r="W60" s="5"/>
      <c r="X60" s="5"/>
      <c r="Y60" s="5"/>
    </row>
    <row r="61" spans="1:25" ht="17.25">
      <c r="A61" s="11">
        <v>35</v>
      </c>
      <c r="B61" s="10" t="s">
        <v>52</v>
      </c>
      <c r="C61" s="16">
        <v>0</v>
      </c>
      <c r="D61" s="16"/>
      <c r="E61" s="15">
        <f>(C61-D61)</f>
        <v>0</v>
      </c>
      <c r="F61" s="16">
        <v>1</v>
      </c>
      <c r="G61" s="15">
        <f>IF((F61=1),0,TRUNC(((E61*3)/103)))</f>
        <v>0</v>
      </c>
      <c r="H61" s="15">
        <f>(E61-G61)</f>
        <v>0</v>
      </c>
      <c r="I61" s="15">
        <f t="shared" si="4"/>
        <v>35</v>
      </c>
      <c r="J61" s="15" t="str">
        <f t="shared" si="5"/>
        <v>貸倒引当金</v>
      </c>
      <c r="K61" s="15">
        <f>H61</f>
        <v>0</v>
      </c>
      <c r="L61" s="16">
        <v>0</v>
      </c>
      <c r="M61" s="17">
        <f t="shared" si="0"/>
      </c>
      <c r="N61" s="15">
        <f t="shared" si="1"/>
      </c>
      <c r="O61" s="17">
        <f t="shared" si="2"/>
      </c>
      <c r="P61" s="17">
        <f t="shared" si="3"/>
      </c>
      <c r="Q61" s="11"/>
      <c r="R61" s="5"/>
      <c r="S61" s="5"/>
      <c r="T61" s="5"/>
      <c r="U61" s="5"/>
      <c r="V61" s="5"/>
      <c r="W61" s="5"/>
      <c r="X61" s="5"/>
      <c r="Y61" s="5"/>
    </row>
    <row r="62" spans="1:25" ht="17.25">
      <c r="A62" s="11">
        <v>39</v>
      </c>
      <c r="B62" s="10" t="s">
        <v>53</v>
      </c>
      <c r="C62" s="15">
        <f>C61</f>
        <v>0</v>
      </c>
      <c r="D62" s="15">
        <f>D61</f>
        <v>0</v>
      </c>
      <c r="E62" s="15">
        <f>E61</f>
        <v>0</v>
      </c>
      <c r="F62" s="16">
        <v>1</v>
      </c>
      <c r="G62" s="15">
        <f>G61</f>
        <v>0</v>
      </c>
      <c r="H62" s="15">
        <f>H61</f>
        <v>0</v>
      </c>
      <c r="I62" s="15">
        <f t="shared" si="4"/>
        <v>39</v>
      </c>
      <c r="J62" s="15" t="str">
        <f t="shared" si="5"/>
        <v>繰戻計</v>
      </c>
      <c r="K62" s="15">
        <f>H62</f>
        <v>0</v>
      </c>
      <c r="L62" s="15">
        <v>0</v>
      </c>
      <c r="M62" s="17">
        <f t="shared" si="0"/>
      </c>
      <c r="N62" s="15">
        <f t="shared" si="1"/>
      </c>
      <c r="O62" s="17">
        <f t="shared" si="2"/>
      </c>
      <c r="P62" s="17">
        <f t="shared" si="3"/>
      </c>
      <c r="Q62" s="11"/>
      <c r="R62" s="5"/>
      <c r="S62" s="5"/>
      <c r="T62" s="5"/>
      <c r="U62" s="5"/>
      <c r="V62" s="5"/>
      <c r="W62" s="5"/>
      <c r="X62" s="5"/>
      <c r="Y62" s="5"/>
    </row>
    <row r="63" spans="1:25" ht="17.25">
      <c r="A63" s="11">
        <v>40</v>
      </c>
      <c r="B63" s="10" t="s">
        <v>54</v>
      </c>
      <c r="C63" s="16">
        <v>2000000</v>
      </c>
      <c r="D63" s="16"/>
      <c r="E63" s="15">
        <f>(C63-D63)</f>
        <v>2000000</v>
      </c>
      <c r="F63" s="16">
        <v>1</v>
      </c>
      <c r="G63" s="15">
        <f>IF((F63=1),0,TRUNC(((E63*3)/103)))</f>
        <v>0</v>
      </c>
      <c r="H63" s="15">
        <f>(E63-G63)</f>
        <v>2000000</v>
      </c>
      <c r="I63" s="15">
        <f t="shared" si="4"/>
        <v>40</v>
      </c>
      <c r="J63" s="15" t="str">
        <f t="shared" si="5"/>
        <v>専従者給与</v>
      </c>
      <c r="K63" s="15">
        <f>H63</f>
        <v>2000000</v>
      </c>
      <c r="L63" s="16">
        <v>1500000</v>
      </c>
      <c r="M63" s="17">
        <f t="shared" si="0"/>
        <v>1.333</v>
      </c>
      <c r="N63" s="15">
        <f t="shared" si="1"/>
        <v>500</v>
      </c>
      <c r="O63" s="17">
        <f t="shared" si="2"/>
        <v>0.049</v>
      </c>
      <c r="P63" s="17">
        <f t="shared" si="3"/>
        <v>0.038</v>
      </c>
      <c r="Q63" s="11"/>
      <c r="R63" s="5"/>
      <c r="S63" s="5"/>
      <c r="T63" s="5"/>
      <c r="U63" s="5"/>
      <c r="V63" s="5"/>
      <c r="W63" s="5"/>
      <c r="X63" s="5"/>
      <c r="Y63" s="5"/>
    </row>
    <row r="64" spans="1:25" ht="17.25">
      <c r="A64" s="23">
        <v>41</v>
      </c>
      <c r="B64" s="24" t="s">
        <v>52</v>
      </c>
      <c r="C64" s="25"/>
      <c r="D64" s="25"/>
      <c r="E64" s="19">
        <f>(C64-D64)</f>
        <v>0</v>
      </c>
      <c r="F64" s="25">
        <v>1</v>
      </c>
      <c r="G64" s="19">
        <f>IF((F64=1),0,TRUNC(((E64*3)/103)))</f>
        <v>0</v>
      </c>
      <c r="H64" s="19"/>
      <c r="I64" s="19">
        <f t="shared" si="4"/>
        <v>41</v>
      </c>
      <c r="J64" s="19" t="str">
        <f t="shared" si="5"/>
        <v>貸倒引当金</v>
      </c>
      <c r="K64" s="19"/>
      <c r="L64" s="25"/>
      <c r="M64" s="21">
        <f t="shared" si="0"/>
      </c>
      <c r="N64" s="19">
        <f t="shared" si="1"/>
      </c>
      <c r="O64" s="21">
        <f t="shared" si="2"/>
      </c>
      <c r="P64" s="21">
        <f t="shared" si="3"/>
      </c>
      <c r="Q64" s="11"/>
      <c r="R64" s="5"/>
      <c r="S64" s="5"/>
      <c r="T64" s="5"/>
      <c r="U64" s="5"/>
      <c r="V64" s="5"/>
      <c r="W64" s="5"/>
      <c r="X64" s="5"/>
      <c r="Y64" s="5"/>
    </row>
    <row r="65" spans="1:25" ht="17.25">
      <c r="A65" s="23">
        <v>45</v>
      </c>
      <c r="B65" s="24" t="s">
        <v>55</v>
      </c>
      <c r="C65" s="19">
        <f>(C63+C64)</f>
        <v>2000000</v>
      </c>
      <c r="D65" s="19">
        <f>(D63+D64)</f>
        <v>0</v>
      </c>
      <c r="E65" s="19">
        <f>(E63+E64)</f>
        <v>2000000</v>
      </c>
      <c r="F65" s="25">
        <v>1</v>
      </c>
      <c r="G65" s="19">
        <f>(G63+G64)</f>
        <v>0</v>
      </c>
      <c r="H65" s="19">
        <f>(H63+H64)</f>
        <v>2000000</v>
      </c>
      <c r="I65" s="19">
        <f t="shared" si="4"/>
        <v>45</v>
      </c>
      <c r="J65" s="19" t="str">
        <f t="shared" si="5"/>
        <v>繰入計</v>
      </c>
      <c r="K65" s="19">
        <f>H65</f>
        <v>2000000</v>
      </c>
      <c r="L65" s="19">
        <f>L60+L62-L63</f>
        <v>4845640</v>
      </c>
      <c r="M65" s="21">
        <f t="shared" si="0"/>
        <v>0.413</v>
      </c>
      <c r="N65" s="19">
        <f t="shared" si="1"/>
        <v>-2845</v>
      </c>
      <c r="O65" s="21">
        <f t="shared" si="2"/>
        <v>0.049</v>
      </c>
      <c r="P65" s="21">
        <f t="shared" si="3"/>
        <v>0.123</v>
      </c>
      <c r="Q65" s="11"/>
      <c r="R65" s="5"/>
      <c r="S65" s="5"/>
      <c r="T65" s="5"/>
      <c r="U65" s="5"/>
      <c r="V65" s="5"/>
      <c r="W65" s="5"/>
      <c r="X65" s="5"/>
      <c r="Y65" s="5"/>
    </row>
    <row r="66" spans="1:25" ht="17.25">
      <c r="A66" s="23">
        <v>46</v>
      </c>
      <c r="B66" s="24" t="s">
        <v>56</v>
      </c>
      <c r="C66" s="19">
        <f>((C60+C62)-C65)</f>
        <v>4256000</v>
      </c>
      <c r="D66" s="19">
        <f>((D60+D62)-D65)</f>
        <v>-4990000</v>
      </c>
      <c r="E66" s="19">
        <f>((E60+E62)-E65)</f>
        <v>9246000</v>
      </c>
      <c r="F66" s="25">
        <v>1</v>
      </c>
      <c r="G66" s="19">
        <f>((G60+G62)-G65)</f>
        <v>640073</v>
      </c>
      <c r="H66" s="19">
        <f>((H60+H62)-H65)</f>
        <v>3615927</v>
      </c>
      <c r="I66" s="19">
        <f t="shared" si="4"/>
        <v>46</v>
      </c>
      <c r="J66" s="19" t="str">
        <f t="shared" si="5"/>
        <v>控除前金額</v>
      </c>
      <c r="K66" s="19">
        <f>((K60+K62)-K65)</f>
        <v>3709000</v>
      </c>
      <c r="L66" s="19">
        <f>((L60+L62)-L65)</f>
        <v>1500000</v>
      </c>
      <c r="M66" s="21">
        <f t="shared" si="0"/>
        <v>2.473</v>
      </c>
      <c r="N66" s="19">
        <f t="shared" si="1"/>
        <v>2209</v>
      </c>
      <c r="O66" s="21">
        <f t="shared" si="2"/>
        <v>0.09</v>
      </c>
      <c r="P66" s="21">
        <f t="shared" si="3"/>
        <v>0.038</v>
      </c>
      <c r="Q66" s="11"/>
      <c r="R66" s="5"/>
      <c r="S66" s="5"/>
      <c r="T66" s="5"/>
      <c r="U66" s="5"/>
      <c r="V66" s="5"/>
      <c r="W66" s="5"/>
      <c r="X66" s="5"/>
      <c r="Y66" s="5"/>
    </row>
    <row r="67" spans="1:25" ht="17.25">
      <c r="A67" s="11">
        <v>47</v>
      </c>
      <c r="B67" s="10" t="s">
        <v>57</v>
      </c>
      <c r="C67" s="16">
        <v>350000</v>
      </c>
      <c r="D67" s="15"/>
      <c r="E67" s="15">
        <f>(C67-D67)</f>
        <v>350000</v>
      </c>
      <c r="F67" s="16">
        <v>1</v>
      </c>
      <c r="G67" s="15">
        <f>IF((F67=1),0,TRUNC(((E67*3)/103)))</f>
        <v>0</v>
      </c>
      <c r="H67" s="15">
        <f>(E67-G67)</f>
        <v>350000</v>
      </c>
      <c r="I67" s="15">
        <f t="shared" si="4"/>
        <v>47</v>
      </c>
      <c r="J67" s="15" t="str">
        <f t="shared" si="5"/>
        <v>青申控除</v>
      </c>
      <c r="K67" s="15">
        <f>H67</f>
        <v>350000</v>
      </c>
      <c r="L67" s="15">
        <v>350000</v>
      </c>
      <c r="M67" s="17">
        <f t="shared" si="0"/>
        <v>1</v>
      </c>
      <c r="N67" s="15">
        <f t="shared" si="1"/>
        <v>0</v>
      </c>
      <c r="O67" s="17">
        <f t="shared" si="2"/>
        <v>0.009</v>
      </c>
      <c r="P67" s="17">
        <f t="shared" si="3"/>
        <v>0.009</v>
      </c>
      <c r="Q67" s="11"/>
      <c r="R67" s="5"/>
      <c r="S67" s="5"/>
      <c r="T67" s="5"/>
      <c r="U67" s="5"/>
      <c r="V67" s="5"/>
      <c r="W67" s="5"/>
      <c r="X67" s="5"/>
      <c r="Y67" s="5"/>
    </row>
    <row r="68" spans="1:25" ht="17.25">
      <c r="A68" s="23">
        <v>48</v>
      </c>
      <c r="B68" s="24" t="s">
        <v>58</v>
      </c>
      <c r="C68" s="19">
        <f>(C66-C67)</f>
        <v>3906000</v>
      </c>
      <c r="D68" s="19">
        <f>(D66-D67)</f>
        <v>-4990000</v>
      </c>
      <c r="E68" s="19">
        <f>(E66-E67)</f>
        <v>8896000</v>
      </c>
      <c r="F68" s="25">
        <v>1</v>
      </c>
      <c r="G68" s="19">
        <f>(G66-G67)</f>
        <v>640073</v>
      </c>
      <c r="H68" s="19">
        <f>(H66-H67)</f>
        <v>3265927</v>
      </c>
      <c r="I68" s="19">
        <f t="shared" si="4"/>
        <v>48</v>
      </c>
      <c r="J68" s="19" t="str">
        <f t="shared" si="5"/>
        <v>所得金額</v>
      </c>
      <c r="K68" s="19">
        <f>(K66-K67)</f>
        <v>3359000</v>
      </c>
      <c r="L68" s="19">
        <f>(L66-L67)</f>
        <v>1150000</v>
      </c>
      <c r="M68" s="21">
        <f t="shared" si="0"/>
        <v>2.921</v>
      </c>
      <c r="N68" s="19">
        <f t="shared" si="1"/>
        <v>2209</v>
      </c>
      <c r="O68" s="21">
        <f t="shared" si="2"/>
        <v>0.082</v>
      </c>
      <c r="P68" s="21">
        <f t="shared" si="3"/>
        <v>0.029</v>
      </c>
      <c r="Q68" s="11"/>
      <c r="R68" s="5"/>
      <c r="S68" s="5"/>
      <c r="T68" s="5"/>
      <c r="U68" s="5"/>
      <c r="V68" s="5"/>
      <c r="W68" s="5"/>
      <c r="X68" s="5"/>
      <c r="Y68" s="5"/>
    </row>
    <row r="69" spans="3:25" ht="17.25">
      <c r="C69" s="28"/>
      <c r="D69" s="28"/>
      <c r="E69" s="28"/>
      <c r="F69" s="28"/>
      <c r="G69" s="28"/>
      <c r="H69" s="28"/>
      <c r="I69" s="28"/>
      <c r="J69" s="29" t="s">
        <v>59</v>
      </c>
      <c r="K69" s="30">
        <v>1500000</v>
      </c>
      <c r="L69" s="30">
        <v>380000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2:25" ht="17.25">
      <c r="B70" s="6" t="s">
        <v>50</v>
      </c>
      <c r="C70" s="28">
        <f>24134000+2000000</f>
        <v>26134000</v>
      </c>
      <c r="D70" s="5"/>
      <c r="E70" s="6"/>
      <c r="G70" s="5"/>
      <c r="H70" s="5"/>
      <c r="J70" s="6" t="s">
        <v>60</v>
      </c>
      <c r="K70" s="28">
        <f>TRUNC((K68-K69)/1000)*1000</f>
        <v>1859000</v>
      </c>
      <c r="L70" s="28">
        <f>TRUNC((L68-L69)/1000)*1000</f>
        <v>770000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2:26" ht="17.25">
      <c r="B71" s="6" t="s">
        <v>61</v>
      </c>
      <c r="C71" s="5">
        <f>C70-C72</f>
        <v>0</v>
      </c>
      <c r="D71" s="5"/>
      <c r="E71" s="5"/>
      <c r="G71" s="5"/>
      <c r="H71" s="5"/>
      <c r="J71" s="6" t="s">
        <v>62</v>
      </c>
      <c r="K71" s="28">
        <f>TRUNC((IF(K70&lt;=3300000,K70*0.1,IF(K70&lt;=9000000,K70*0.2-330000,IF(K70&lt;=18000000,K70*0.3-1230000,IF(K70&lt;=30000000,K70*0.4-3030000,K70*0.5-6030000)))))/100)*100</f>
        <v>185900</v>
      </c>
      <c r="L71" s="28">
        <f>TRUNC((IF(L70&lt;=3300000,L70*0.1,IF(L70&lt;=9000000,L70*0.2-330000,IF(L70&lt;=18000000,L70*0.3-1230000,IF(L70&lt;=30000000,L70*0.4-3030000,L70*0.5-6030000)))))/100)*100</f>
        <v>77000</v>
      </c>
      <c r="M71" s="5"/>
      <c r="N71" s="5"/>
      <c r="O71" s="5"/>
      <c r="P71" s="5"/>
      <c r="Q71" s="5" t="s">
        <v>102</v>
      </c>
      <c r="R71" s="28">
        <f>SUM(R74:R76)</f>
        <v>6180000</v>
      </c>
      <c r="S71" s="5"/>
      <c r="T71" s="28">
        <f>SUM(T74:T76)</f>
        <v>6000000</v>
      </c>
      <c r="U71" s="5"/>
      <c r="V71" s="5"/>
      <c r="X71" s="28">
        <f>SUM(X74:X76)</f>
        <v>3090000</v>
      </c>
      <c r="Y71" s="5"/>
      <c r="Z71" s="28">
        <f>SUM(Z74:Z76)</f>
        <v>3000000</v>
      </c>
    </row>
    <row r="72" spans="2:27" ht="17.25">
      <c r="B72" s="6" t="s">
        <v>63</v>
      </c>
      <c r="C72" s="5">
        <v>26134000</v>
      </c>
      <c r="J72" s="6" t="s">
        <v>64</v>
      </c>
      <c r="K72" s="30">
        <v>100000</v>
      </c>
      <c r="L72" s="30">
        <v>100000</v>
      </c>
      <c r="O72" s="5"/>
      <c r="P72" s="5"/>
      <c r="Q72" s="31" t="s">
        <v>65</v>
      </c>
      <c r="R72" s="31" t="s">
        <v>66</v>
      </c>
      <c r="S72" s="31" t="s">
        <v>7</v>
      </c>
      <c r="T72" s="31" t="s">
        <v>67</v>
      </c>
      <c r="U72" s="31" t="s">
        <v>67</v>
      </c>
      <c r="V72" s="5"/>
      <c r="W72" s="5"/>
      <c r="X72" s="31" t="s">
        <v>68</v>
      </c>
      <c r="Y72" s="31" t="s">
        <v>7</v>
      </c>
      <c r="Z72" s="31" t="s">
        <v>69</v>
      </c>
      <c r="AA72" s="31" t="s">
        <v>69</v>
      </c>
    </row>
    <row r="73" spans="10:27" ht="17.25">
      <c r="J73" s="6" t="s">
        <v>70</v>
      </c>
      <c r="K73" s="28">
        <f>K71-K72</f>
        <v>85900</v>
      </c>
      <c r="L73" s="28">
        <f>L71-L72</f>
        <v>-23000</v>
      </c>
      <c r="M73" s="5"/>
      <c r="O73" s="5"/>
      <c r="P73" s="5"/>
      <c r="Q73" s="6" t="s">
        <v>71</v>
      </c>
      <c r="R73" s="5">
        <f>K23</f>
        <v>9</v>
      </c>
      <c r="S73" s="5"/>
      <c r="T73" s="5">
        <f>R73</f>
        <v>9</v>
      </c>
      <c r="U73" s="5">
        <f>L23</f>
        <v>8</v>
      </c>
      <c r="V73" s="5"/>
      <c r="W73" s="6" t="s">
        <v>71</v>
      </c>
      <c r="X73" s="5">
        <f>R73</f>
        <v>9</v>
      </c>
      <c r="Y73" s="5"/>
      <c r="Z73" s="5">
        <f>T73</f>
        <v>9</v>
      </c>
      <c r="AA73" s="5">
        <f>U73</f>
        <v>8</v>
      </c>
    </row>
    <row r="74" spans="10:29" ht="17.25">
      <c r="J74" s="6" t="s">
        <v>72</v>
      </c>
      <c r="K74" s="28">
        <f>K68+K63</f>
        <v>5359000</v>
      </c>
      <c r="L74" s="28">
        <f>L68+L63</f>
        <v>2650000</v>
      </c>
      <c r="M74" s="5"/>
      <c r="P74" s="5"/>
      <c r="Q74" s="28">
        <v>1</v>
      </c>
      <c r="R74" s="30">
        <f>2060000</f>
        <v>2060000</v>
      </c>
      <c r="S74" s="28">
        <f>TRUNC(((R74*3)/103))</f>
        <v>60000</v>
      </c>
      <c r="T74" s="28">
        <f aca="true" t="shared" si="10" ref="T74:T87">(R74-S74)</f>
        <v>2000000</v>
      </c>
      <c r="U74" s="44">
        <v>2000000</v>
      </c>
      <c r="V74" s="28"/>
      <c r="W74" s="28">
        <v>1</v>
      </c>
      <c r="X74" s="30">
        <v>1030000</v>
      </c>
      <c r="Y74" s="28">
        <f>TRUNC(((X74*3)/103))</f>
        <v>30000</v>
      </c>
      <c r="Z74" s="28">
        <f aca="true" t="shared" si="11" ref="Z74:Z87">(X74-Y74)</f>
        <v>1000000</v>
      </c>
      <c r="AA74" s="44">
        <v>1000000</v>
      </c>
      <c r="AB74" s="5"/>
      <c r="AC74" s="5"/>
    </row>
    <row r="75" spans="10:29" ht="17.25">
      <c r="J75" s="7"/>
      <c r="K75" s="7"/>
      <c r="L75" s="7"/>
      <c r="P75" s="5"/>
      <c r="Q75" s="28">
        <v>2</v>
      </c>
      <c r="R75" s="30">
        <v>2060000</v>
      </c>
      <c r="S75" s="28">
        <f>TRUNC(((R75*3)/103))</f>
        <v>60000</v>
      </c>
      <c r="T75" s="28">
        <f t="shared" si="10"/>
        <v>2000000</v>
      </c>
      <c r="U75" s="44">
        <v>2000000</v>
      </c>
      <c r="V75" s="28"/>
      <c r="W75" s="28">
        <v>2</v>
      </c>
      <c r="X75" s="30">
        <v>1030000</v>
      </c>
      <c r="Y75" s="28">
        <f>TRUNC(((X75*3)/103))</f>
        <v>30000</v>
      </c>
      <c r="Z75" s="28">
        <f t="shared" si="11"/>
        <v>1000000</v>
      </c>
      <c r="AA75" s="44">
        <v>1000000</v>
      </c>
      <c r="AB75" s="5"/>
      <c r="AC75" s="5"/>
    </row>
    <row r="76" spans="10:29" ht="17.25">
      <c r="J76" s="7"/>
      <c r="K76" s="7"/>
      <c r="L76" s="7"/>
      <c r="P76" s="5"/>
      <c r="Q76" s="28">
        <v>3</v>
      </c>
      <c r="R76" s="30">
        <v>2060000</v>
      </c>
      <c r="S76" s="28">
        <f>TRUNC(((R76*3)/103))</f>
        <v>60000</v>
      </c>
      <c r="T76" s="28">
        <f t="shared" si="10"/>
        <v>2000000</v>
      </c>
      <c r="U76" s="44">
        <v>2000000</v>
      </c>
      <c r="V76" s="28"/>
      <c r="W76" s="28">
        <v>3</v>
      </c>
      <c r="X76" s="30">
        <v>1030000</v>
      </c>
      <c r="Y76" s="28">
        <f>TRUNC(((X76*3)/103))</f>
        <v>30000</v>
      </c>
      <c r="Z76" s="28">
        <f t="shared" si="11"/>
        <v>1000000</v>
      </c>
      <c r="AA76" s="44">
        <v>1000000</v>
      </c>
      <c r="AB76" s="5"/>
      <c r="AC76" s="5"/>
    </row>
    <row r="77" spans="10:29" ht="17.25">
      <c r="J77" s="7"/>
      <c r="K77" s="7"/>
      <c r="L77" s="7"/>
      <c r="P77" s="5"/>
      <c r="Q77" s="28">
        <v>4</v>
      </c>
      <c r="R77" s="30">
        <f>3150000</f>
        <v>3150000</v>
      </c>
      <c r="S77" s="28">
        <f>TRUNC(((R77*5)/105))</f>
        <v>150000</v>
      </c>
      <c r="T77" s="28">
        <f t="shared" si="10"/>
        <v>3000000</v>
      </c>
      <c r="U77" s="44">
        <v>3000000</v>
      </c>
      <c r="V77" s="28"/>
      <c r="W77" s="28">
        <v>4</v>
      </c>
      <c r="X77" s="30">
        <v>1050000</v>
      </c>
      <c r="Y77" s="28">
        <f>TRUNC(((X77*5)/105))</f>
        <v>50000</v>
      </c>
      <c r="Z77" s="28">
        <f t="shared" si="11"/>
        <v>1000000</v>
      </c>
      <c r="AA77" s="44">
        <v>900000</v>
      </c>
      <c r="AB77" s="5"/>
      <c r="AC77" s="5"/>
    </row>
    <row r="78" spans="10:29" ht="17.25">
      <c r="J78" s="7"/>
      <c r="K78" s="7"/>
      <c r="L78" s="7"/>
      <c r="P78" s="5"/>
      <c r="Q78" s="28">
        <v>5</v>
      </c>
      <c r="R78" s="30">
        <v>3150000</v>
      </c>
      <c r="S78" s="28">
        <f aca="true" t="shared" si="12" ref="S78:S87">TRUNC(((R78*5)/105))</f>
        <v>150000</v>
      </c>
      <c r="T78" s="28">
        <f t="shared" si="10"/>
        <v>3000000</v>
      </c>
      <c r="U78" s="44">
        <v>3000000</v>
      </c>
      <c r="V78" s="28"/>
      <c r="W78" s="28">
        <v>5</v>
      </c>
      <c r="X78" s="30">
        <v>1050000</v>
      </c>
      <c r="Y78" s="28">
        <f aca="true" t="shared" si="13" ref="Y78:Y87">TRUNC(((X78*5)/105))</f>
        <v>50000</v>
      </c>
      <c r="Z78" s="28">
        <f t="shared" si="11"/>
        <v>1000000</v>
      </c>
      <c r="AA78" s="44">
        <v>1000000</v>
      </c>
      <c r="AB78" s="5"/>
      <c r="AC78" s="5"/>
    </row>
    <row r="79" spans="10:29" ht="17.25">
      <c r="J79" s="7"/>
      <c r="K79" s="7"/>
      <c r="L79" s="7"/>
      <c r="P79" s="5"/>
      <c r="Q79" s="28">
        <v>6</v>
      </c>
      <c r="R79" s="30">
        <v>3150000</v>
      </c>
      <c r="S79" s="28">
        <f t="shared" si="12"/>
        <v>150000</v>
      </c>
      <c r="T79" s="28">
        <f t="shared" si="10"/>
        <v>3000000</v>
      </c>
      <c r="U79" s="44">
        <v>3000000</v>
      </c>
      <c r="V79" s="28"/>
      <c r="W79" s="28">
        <v>6</v>
      </c>
      <c r="X79" s="30">
        <v>1050000</v>
      </c>
      <c r="Y79" s="28">
        <f t="shared" si="13"/>
        <v>50000</v>
      </c>
      <c r="Z79" s="28">
        <f t="shared" si="11"/>
        <v>1000000</v>
      </c>
      <c r="AA79" s="44">
        <v>1000000</v>
      </c>
      <c r="AB79" s="5"/>
      <c r="AC79" s="5"/>
    </row>
    <row r="80" spans="16:29" ht="17.25">
      <c r="P80" s="5"/>
      <c r="Q80" s="28">
        <v>7</v>
      </c>
      <c r="R80" s="30">
        <v>3150000</v>
      </c>
      <c r="S80" s="28">
        <f t="shared" si="12"/>
        <v>150000</v>
      </c>
      <c r="T80" s="28">
        <f t="shared" si="10"/>
        <v>3000000</v>
      </c>
      <c r="U80" s="44">
        <v>3000000</v>
      </c>
      <c r="V80" s="28"/>
      <c r="W80" s="28">
        <v>7</v>
      </c>
      <c r="X80" s="30">
        <v>1050000</v>
      </c>
      <c r="Y80" s="28">
        <f t="shared" si="13"/>
        <v>50000</v>
      </c>
      <c r="Z80" s="28">
        <f t="shared" si="11"/>
        <v>1000000</v>
      </c>
      <c r="AA80" s="44">
        <v>1000000</v>
      </c>
      <c r="AB80" s="5"/>
      <c r="AC80" s="5"/>
    </row>
    <row r="81" spans="16:29" ht="17.25">
      <c r="P81" s="5"/>
      <c r="Q81" s="28">
        <v>8</v>
      </c>
      <c r="R81" s="30">
        <v>3150000</v>
      </c>
      <c r="S81" s="28">
        <f t="shared" si="12"/>
        <v>150000</v>
      </c>
      <c r="T81" s="28">
        <f t="shared" si="10"/>
        <v>3000000</v>
      </c>
      <c r="U81" s="44">
        <v>3000000</v>
      </c>
      <c r="V81" s="28"/>
      <c r="W81" s="28">
        <v>8</v>
      </c>
      <c r="X81" s="30">
        <v>1050000</v>
      </c>
      <c r="Y81" s="28">
        <f t="shared" si="13"/>
        <v>50000</v>
      </c>
      <c r="Z81" s="28">
        <f t="shared" si="11"/>
        <v>1000000</v>
      </c>
      <c r="AA81" s="44">
        <v>1000000</v>
      </c>
      <c r="AB81" s="5"/>
      <c r="AC81" s="5"/>
    </row>
    <row r="82" spans="16:29" ht="17.25">
      <c r="P82" s="5"/>
      <c r="Q82" s="28">
        <v>9</v>
      </c>
      <c r="R82" s="30">
        <v>5250000</v>
      </c>
      <c r="S82" s="28">
        <f t="shared" si="12"/>
        <v>250000</v>
      </c>
      <c r="T82" s="28">
        <f t="shared" si="10"/>
        <v>5000000</v>
      </c>
      <c r="U82" s="44">
        <v>4000000</v>
      </c>
      <c r="V82" s="28"/>
      <c r="W82" s="28">
        <v>9</v>
      </c>
      <c r="X82" s="30">
        <v>1050000</v>
      </c>
      <c r="Y82" s="28">
        <f t="shared" si="13"/>
        <v>50000</v>
      </c>
      <c r="Z82" s="28">
        <f t="shared" si="11"/>
        <v>1000000</v>
      </c>
      <c r="AA82" s="44">
        <v>1000000</v>
      </c>
      <c r="AB82" s="5"/>
      <c r="AC82" s="5"/>
    </row>
    <row r="83" spans="16:29" ht="17.25">
      <c r="P83" s="5"/>
      <c r="Q83" s="28">
        <v>10</v>
      </c>
      <c r="R83" s="30">
        <v>5250000</v>
      </c>
      <c r="S83" s="28">
        <f t="shared" si="12"/>
        <v>250000</v>
      </c>
      <c r="T83" s="28">
        <f t="shared" si="10"/>
        <v>5000000</v>
      </c>
      <c r="U83" s="44">
        <v>4000000</v>
      </c>
      <c r="V83" s="28"/>
      <c r="W83" s="28">
        <v>10</v>
      </c>
      <c r="X83" s="30">
        <v>1050000</v>
      </c>
      <c r="Y83" s="28">
        <f t="shared" si="13"/>
        <v>50000</v>
      </c>
      <c r="Z83" s="28">
        <f t="shared" si="11"/>
        <v>1000000</v>
      </c>
      <c r="AA83" s="44">
        <v>1000000</v>
      </c>
      <c r="AB83" s="5"/>
      <c r="AC83" s="5"/>
    </row>
    <row r="84" spans="16:29" ht="17.25">
      <c r="P84" s="5"/>
      <c r="Q84" s="28">
        <v>11</v>
      </c>
      <c r="R84" s="30">
        <v>5250000</v>
      </c>
      <c r="S84" s="28">
        <f t="shared" si="12"/>
        <v>250000</v>
      </c>
      <c r="T84" s="28">
        <f t="shared" si="10"/>
        <v>5000000</v>
      </c>
      <c r="U84" s="44">
        <v>5000000</v>
      </c>
      <c r="V84" s="28"/>
      <c r="W84" s="28">
        <v>11</v>
      </c>
      <c r="X84" s="30">
        <v>1050000</v>
      </c>
      <c r="Y84" s="28">
        <f t="shared" si="13"/>
        <v>50000</v>
      </c>
      <c r="Z84" s="28">
        <f t="shared" si="11"/>
        <v>1000000</v>
      </c>
      <c r="AA84" s="44">
        <v>1000000</v>
      </c>
      <c r="AB84" s="5"/>
      <c r="AC84" s="5"/>
    </row>
    <row r="85" spans="16:29" ht="17.25">
      <c r="P85" s="5"/>
      <c r="Q85" s="28">
        <v>12</v>
      </c>
      <c r="R85" s="30">
        <v>5250000</v>
      </c>
      <c r="S85" s="28">
        <f t="shared" si="12"/>
        <v>250000</v>
      </c>
      <c r="T85" s="28">
        <f t="shared" si="10"/>
        <v>5000000</v>
      </c>
      <c r="U85" s="44">
        <v>5000000</v>
      </c>
      <c r="V85" s="28"/>
      <c r="W85" s="28">
        <v>12</v>
      </c>
      <c r="X85" s="30">
        <v>1050000</v>
      </c>
      <c r="Y85" s="28">
        <f t="shared" si="13"/>
        <v>50000</v>
      </c>
      <c r="Z85" s="28">
        <f t="shared" si="11"/>
        <v>1000000</v>
      </c>
      <c r="AA85" s="44">
        <v>1000000</v>
      </c>
      <c r="AB85" s="5"/>
      <c r="AC85" s="5"/>
    </row>
    <row r="86" spans="11:28" ht="17.25">
      <c r="K86" s="5"/>
      <c r="L86" s="5"/>
      <c r="M86" s="5"/>
      <c r="N86" s="5"/>
      <c r="O86" s="5"/>
      <c r="P86" s="5"/>
      <c r="Q86" s="32" t="s">
        <v>73</v>
      </c>
      <c r="R86" s="30"/>
      <c r="S86" s="28">
        <f t="shared" si="12"/>
        <v>0</v>
      </c>
      <c r="T86" s="28">
        <f t="shared" si="10"/>
        <v>0</v>
      </c>
      <c r="U86" s="44">
        <v>0</v>
      </c>
      <c r="V86" s="28"/>
      <c r="W86" s="28"/>
      <c r="X86" s="28"/>
      <c r="Y86" s="28">
        <f t="shared" si="13"/>
        <v>0</v>
      </c>
      <c r="Z86" s="28">
        <f t="shared" si="11"/>
        <v>0</v>
      </c>
      <c r="AA86" s="28">
        <v>0</v>
      </c>
      <c r="AB86" s="5"/>
    </row>
    <row r="87" spans="12:28" ht="17.25">
      <c r="L87" s="5"/>
      <c r="M87" s="5"/>
      <c r="N87" s="5"/>
      <c r="O87" s="5"/>
      <c r="P87" s="5"/>
      <c r="Q87" s="32" t="s">
        <v>74</v>
      </c>
      <c r="R87" s="30"/>
      <c r="S87" s="28">
        <f t="shared" si="12"/>
        <v>0</v>
      </c>
      <c r="T87" s="28">
        <f t="shared" si="10"/>
        <v>0</v>
      </c>
      <c r="U87" s="28"/>
      <c r="V87" s="28"/>
      <c r="W87" s="28"/>
      <c r="X87" s="28"/>
      <c r="Y87" s="28">
        <f t="shared" si="13"/>
        <v>0</v>
      </c>
      <c r="Z87" s="28">
        <f t="shared" si="11"/>
        <v>0</v>
      </c>
      <c r="AA87" s="28">
        <v>0</v>
      </c>
      <c r="AB87" s="5"/>
    </row>
    <row r="88" spans="12:29" ht="17.25">
      <c r="L88" s="5"/>
      <c r="M88" s="5"/>
      <c r="N88" s="5"/>
      <c r="O88" s="5"/>
      <c r="P88" s="5"/>
      <c r="Q88" s="29" t="s">
        <v>75</v>
      </c>
      <c r="R88" s="28">
        <f>SUM(R74:R87)</f>
        <v>42930000</v>
      </c>
      <c r="S88" s="28">
        <f>SUM(S74:S87)</f>
        <v>1930000</v>
      </c>
      <c r="T88" s="28">
        <f>SUM(T74:T87)</f>
        <v>41000000</v>
      </c>
      <c r="U88" s="28">
        <f>SUM(U74:U87)</f>
        <v>39000000</v>
      </c>
      <c r="V88" s="28"/>
      <c r="W88" s="29" t="s">
        <v>75</v>
      </c>
      <c r="X88" s="28">
        <f>SUM(X74:X87)</f>
        <v>12540000</v>
      </c>
      <c r="Y88" s="28">
        <f>SUM(Y74:Y87)</f>
        <v>540000</v>
      </c>
      <c r="Z88" s="28">
        <f>SUM(Z74:Z87)</f>
        <v>12000000</v>
      </c>
      <c r="AA88" s="28">
        <f>SUM(AA74:AA87)</f>
        <v>11900000</v>
      </c>
      <c r="AB88" s="5"/>
      <c r="AC88" s="28"/>
    </row>
    <row r="89" spans="12:28" ht="17.25"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2:26" ht="17.25">
      <c r="L90" s="5"/>
      <c r="M90" s="5"/>
      <c r="N90" s="5"/>
      <c r="O90" s="5"/>
      <c r="P90" s="5"/>
      <c r="Q90" s="33" t="s">
        <v>101</v>
      </c>
      <c r="R90" s="5">
        <v>42930000</v>
      </c>
      <c r="S90" s="5"/>
      <c r="T90" s="28">
        <f>T88-T71</f>
        <v>35000000</v>
      </c>
      <c r="U90" s="5"/>
      <c r="V90" s="5"/>
      <c r="W90" s="5"/>
      <c r="X90" s="5"/>
      <c r="Z90" s="28">
        <f>Z88-Z71</f>
        <v>9000000</v>
      </c>
    </row>
    <row r="91" spans="12:24" ht="17.25">
      <c r="L91" s="5"/>
      <c r="M91" s="5"/>
      <c r="N91" s="5"/>
      <c r="O91" s="5"/>
      <c r="P91" s="5"/>
      <c r="Q91" s="5"/>
      <c r="R91" s="5">
        <f>R90-R88</f>
        <v>0</v>
      </c>
      <c r="S91" s="5"/>
      <c r="T91" s="5"/>
      <c r="U91" s="5"/>
      <c r="V91" s="5"/>
      <c r="W91" s="5"/>
      <c r="X91" s="5"/>
    </row>
    <row r="92" spans="12:24" ht="17.25">
      <c r="L92" s="5"/>
      <c r="M92" s="5"/>
      <c r="N92" s="5"/>
      <c r="O92" s="5"/>
      <c r="P92" s="5"/>
      <c r="Q92" s="5"/>
      <c r="R92" s="5"/>
      <c r="S92" s="5">
        <f>S88-S91</f>
        <v>1930000</v>
      </c>
      <c r="T92" s="5"/>
      <c r="U92" s="5"/>
      <c r="V92" s="5"/>
      <c r="W92" s="5"/>
      <c r="X92" s="5"/>
    </row>
    <row r="93" spans="12:24" ht="17.25">
      <c r="L93" s="5"/>
      <c r="M93" s="5"/>
      <c r="N93" s="5"/>
      <c r="O93" s="5"/>
      <c r="P93" s="5"/>
      <c r="Q93" s="5"/>
      <c r="R93" s="28">
        <f>SUM(R74:R76)</f>
        <v>6180000</v>
      </c>
      <c r="S93" s="5"/>
      <c r="T93" s="5"/>
      <c r="U93" s="5"/>
      <c r="V93" s="5"/>
      <c r="W93" s="5"/>
      <c r="X93" s="5"/>
    </row>
    <row r="94" spans="6:24" ht="17.25">
      <c r="F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6:22" ht="17.25">
      <c r="F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7:29" ht="17.25">
      <c r="Q96" s="6" t="s">
        <v>76</v>
      </c>
      <c r="S96" t="s">
        <v>89</v>
      </c>
      <c r="T96" t="s">
        <v>90</v>
      </c>
      <c r="U96" s="5"/>
      <c r="W96" s="5"/>
      <c r="AA96" s="5"/>
      <c r="AB96" s="5"/>
      <c r="AC96" s="5"/>
    </row>
    <row r="97" spans="17:29" ht="17.25">
      <c r="Q97" s="5">
        <f>H23</f>
        <v>0</v>
      </c>
      <c r="R97" s="36">
        <f>T88</f>
        <v>41000000</v>
      </c>
      <c r="S97" s="37">
        <f>SUM(T74:T76)</f>
        <v>6000000</v>
      </c>
      <c r="T97" s="37">
        <f>R97-S97</f>
        <v>35000000</v>
      </c>
      <c r="U97" s="5"/>
      <c r="AA97" s="5"/>
      <c r="AB97" s="5"/>
      <c r="AC97" s="5"/>
    </row>
    <row r="98" spans="18:29" ht="17.25">
      <c r="R98" s="37"/>
      <c r="S98" s="37"/>
      <c r="T98" s="37"/>
      <c r="U98" s="5"/>
      <c r="W98" s="5"/>
      <c r="AA98" s="5"/>
      <c r="AB98" s="5"/>
      <c r="AC98" s="5"/>
    </row>
    <row r="99" spans="16:29" ht="17.25">
      <c r="P99" s="7">
        <v>1</v>
      </c>
      <c r="R99" s="37"/>
      <c r="S99" s="37"/>
      <c r="T99" s="37"/>
      <c r="U99" s="5"/>
      <c r="AA99" s="5"/>
      <c r="AB99" s="5"/>
      <c r="AC99" s="5"/>
    </row>
    <row r="100" spans="16:29" ht="17.25">
      <c r="P100" s="7">
        <v>2</v>
      </c>
      <c r="R100" s="36"/>
      <c r="S100" s="36"/>
      <c r="T100" s="37"/>
      <c r="U100" s="5"/>
      <c r="W100" s="5"/>
      <c r="AA100" s="5"/>
      <c r="AB100" s="5"/>
      <c r="AC100" s="5"/>
    </row>
    <row r="101" spans="16:29" ht="17.25">
      <c r="P101" s="7">
        <v>3</v>
      </c>
      <c r="R101" s="36"/>
      <c r="S101" s="36"/>
      <c r="T101" s="37"/>
      <c r="U101" s="5"/>
      <c r="W101" s="5"/>
      <c r="AA101" s="5"/>
      <c r="AB101" s="5"/>
      <c r="AC101" s="5"/>
    </row>
    <row r="102" spans="16:29" ht="17.25">
      <c r="P102" s="7">
        <v>4</v>
      </c>
      <c r="Q102" s="6" t="s">
        <v>77</v>
      </c>
      <c r="R102" s="36">
        <f>(TRUNC((R116/1000))*1000)</f>
        <v>41000000</v>
      </c>
      <c r="S102" s="36">
        <f>S97</f>
        <v>6000000</v>
      </c>
      <c r="T102" s="37">
        <f>T97</f>
        <v>35000000</v>
      </c>
      <c r="W102" s="5"/>
      <c r="AA102" s="5"/>
      <c r="AB102" s="5"/>
      <c r="AC102" s="5"/>
    </row>
    <row r="103" spans="16:29" ht="17.25">
      <c r="P103" s="7">
        <v>5</v>
      </c>
      <c r="Q103" s="6" t="s">
        <v>78</v>
      </c>
      <c r="R103" s="36"/>
      <c r="S103" s="36"/>
      <c r="T103" s="37"/>
      <c r="W103" s="5"/>
      <c r="AA103" s="5"/>
      <c r="AB103" s="5"/>
      <c r="AC103" s="5"/>
    </row>
    <row r="104" spans="16:29" ht="17.25">
      <c r="P104" s="7">
        <v>6</v>
      </c>
      <c r="Q104" s="6" t="s">
        <v>79</v>
      </c>
      <c r="R104" s="36">
        <f>(R102-R103)</f>
        <v>41000000</v>
      </c>
      <c r="S104" s="36">
        <f>ROUNDDOWN((S102-S103),-3)</f>
        <v>6000000</v>
      </c>
      <c r="T104" s="36">
        <f>ROUNDDOWN((T102-T103),-3)</f>
        <v>35000000</v>
      </c>
      <c r="W104" s="5"/>
      <c r="AA104" s="5"/>
      <c r="AB104" s="5"/>
      <c r="AC104" s="5"/>
    </row>
    <row r="105" spans="16:29" ht="17.25">
      <c r="P105" s="7">
        <v>7</v>
      </c>
      <c r="R105" s="36"/>
      <c r="S105" s="36"/>
      <c r="T105" s="36"/>
      <c r="U105" t="s">
        <v>92</v>
      </c>
      <c r="W105" s="5"/>
      <c r="X105" s="40" t="s">
        <v>93</v>
      </c>
      <c r="Y105" s="39">
        <f>R116</f>
        <v>41000000</v>
      </c>
      <c r="AA105" s="5"/>
      <c r="AB105" s="5"/>
      <c r="AC105" s="5"/>
    </row>
    <row r="106" spans="16:29" ht="17.25">
      <c r="P106" s="7">
        <v>8</v>
      </c>
      <c r="Q106" s="35" t="s">
        <v>91</v>
      </c>
      <c r="R106" s="36">
        <f>T106+S106</f>
        <v>632000</v>
      </c>
      <c r="S106" s="36">
        <f>INT(S104*0.012)</f>
        <v>72000</v>
      </c>
      <c r="T106" s="36">
        <f>INT(T104*0.016)</f>
        <v>560000</v>
      </c>
      <c r="U106" s="39">
        <f>R106</f>
        <v>632000</v>
      </c>
      <c r="W106" s="5" t="s">
        <v>94</v>
      </c>
      <c r="X106" t="s">
        <v>96</v>
      </c>
      <c r="Y106" s="41"/>
      <c r="Z106" s="36">
        <f>IF(R116&lt;50000000,INT(U106*(50000000-Y105)/20000000),0)</f>
        <v>284400</v>
      </c>
      <c r="AB106" s="5"/>
      <c r="AC106" s="5"/>
    </row>
    <row r="107" spans="16:29" ht="17.25">
      <c r="P107" s="7">
        <v>9</v>
      </c>
      <c r="Q107" s="6" t="s">
        <v>75</v>
      </c>
      <c r="R107" s="36">
        <f>R106</f>
        <v>632000</v>
      </c>
      <c r="S107" s="36"/>
      <c r="T107" s="36"/>
      <c r="W107" s="5"/>
      <c r="X107" t="s">
        <v>95</v>
      </c>
      <c r="AA107" s="5"/>
      <c r="AB107" s="5"/>
      <c r="AC107" s="5"/>
    </row>
    <row r="108" spans="16:29" ht="17.25">
      <c r="P108" s="7">
        <v>10</v>
      </c>
      <c r="Q108" s="6" t="s">
        <v>80</v>
      </c>
      <c r="R108" s="38">
        <v>0</v>
      </c>
      <c r="S108" s="36"/>
      <c r="T108" s="36"/>
      <c r="U108">
        <v>85000</v>
      </c>
      <c r="W108" s="5"/>
      <c r="AA108" s="5"/>
      <c r="AB108" s="5"/>
      <c r="AC108" s="5"/>
    </row>
    <row r="109" spans="16:29" ht="17.25">
      <c r="P109" s="7">
        <v>11</v>
      </c>
      <c r="Q109" s="6" t="s">
        <v>81</v>
      </c>
      <c r="R109" s="36">
        <f>(R107-R108)</f>
        <v>632000</v>
      </c>
      <c r="S109" s="42" t="s">
        <v>100</v>
      </c>
      <c r="T109" s="42" t="s">
        <v>97</v>
      </c>
      <c r="W109" s="5"/>
      <c r="AA109" s="5"/>
      <c r="AB109" s="5"/>
      <c r="AC109" s="5"/>
    </row>
    <row r="110" spans="16:29" ht="17.25">
      <c r="P110" s="7">
        <v>12</v>
      </c>
      <c r="Q110" s="6" t="s">
        <v>82</v>
      </c>
      <c r="R110" s="45">
        <f>INT((R109-S110)/100)*100</f>
        <v>547000</v>
      </c>
      <c r="S110" s="36">
        <f>IF(U108&lt;Z106,U108,Z106)</f>
        <v>85000</v>
      </c>
      <c r="T110" s="47">
        <f>INT(S110*9/12)</f>
        <v>63750</v>
      </c>
      <c r="AA110" s="5"/>
      <c r="AB110" s="5"/>
      <c r="AC110" s="5"/>
    </row>
    <row r="111" spans="16:29" ht="17.25">
      <c r="P111" s="7">
        <v>13</v>
      </c>
      <c r="Q111" s="6" t="s">
        <v>83</v>
      </c>
      <c r="R111" s="46">
        <v>345200</v>
      </c>
      <c r="T111" s="36">
        <f>INT((T106-T110)/100)*100</f>
        <v>496200</v>
      </c>
      <c r="AA111" s="5"/>
      <c r="AB111" s="5"/>
      <c r="AC111" s="5"/>
    </row>
    <row r="112" spans="16:29" ht="17.25">
      <c r="P112" s="7">
        <v>14</v>
      </c>
      <c r="Q112" s="6" t="s">
        <v>84</v>
      </c>
      <c r="R112" s="36">
        <f>(TRUNC((((R110-R111))/100))*100)</f>
        <v>201800</v>
      </c>
      <c r="S112" s="36"/>
      <c r="T112" s="36">
        <f>INT((T111*0.25)/100)*100</f>
        <v>124000</v>
      </c>
      <c r="U112" t="s">
        <v>98</v>
      </c>
      <c r="AA112" s="5"/>
      <c r="AB112" s="5"/>
      <c r="AC112" s="5"/>
    </row>
    <row r="113" spans="16:29" ht="17.25">
      <c r="P113" s="7">
        <v>15</v>
      </c>
      <c r="Q113" s="6" t="s">
        <v>85</v>
      </c>
      <c r="R113" s="36"/>
      <c r="S113" s="36"/>
      <c r="T113" s="37"/>
      <c r="AA113" s="5"/>
      <c r="AB113" s="5"/>
      <c r="AC113" s="5"/>
    </row>
    <row r="114" spans="16:29" ht="17.25">
      <c r="P114" s="7">
        <v>16</v>
      </c>
      <c r="R114" s="42" t="s">
        <v>99</v>
      </c>
      <c r="S114" s="36">
        <f>R112+T112</f>
        <v>325800</v>
      </c>
      <c r="T114" s="37"/>
      <c r="Z114" s="5"/>
      <c r="AA114" s="5"/>
      <c r="AB114" s="5"/>
      <c r="AC114" s="5"/>
    </row>
    <row r="115" spans="16:29" ht="17.25">
      <c r="P115" s="7">
        <v>17</v>
      </c>
      <c r="R115" s="36"/>
      <c r="S115" s="36"/>
      <c r="T115" s="37"/>
      <c r="U115" s="39"/>
      <c r="W115" s="43"/>
      <c r="AA115" s="5"/>
      <c r="AB115" s="5"/>
      <c r="AC115" s="5"/>
    </row>
    <row r="116" spans="16:23" ht="17.25">
      <c r="P116" s="7">
        <v>18</v>
      </c>
      <c r="Q116" s="6" t="s">
        <v>86</v>
      </c>
      <c r="R116" s="36">
        <f>H25</f>
        <v>41000000</v>
      </c>
      <c r="S116" s="36"/>
      <c r="T116" s="37"/>
      <c r="W116" s="5"/>
    </row>
    <row r="117" spans="18:23" ht="17.25">
      <c r="R117" s="5"/>
      <c r="S117" s="5"/>
      <c r="W117" s="5"/>
    </row>
    <row r="118" spans="3:8" ht="17.25">
      <c r="C118" s="5"/>
      <c r="D118" s="5"/>
      <c r="H118" s="5"/>
    </row>
    <row r="119" spans="3:4" ht="17.25">
      <c r="C119" s="5"/>
      <c r="D119" s="5"/>
    </row>
    <row r="120" spans="3:4" ht="17.25">
      <c r="C120" s="5"/>
      <c r="D120" s="5"/>
    </row>
    <row r="121" spans="3:4" ht="17.25">
      <c r="C121" s="5"/>
      <c r="D121" s="5"/>
    </row>
    <row r="122" spans="3:4" ht="17.25">
      <c r="C122" s="5"/>
      <c r="D122" s="5"/>
    </row>
    <row r="123" spans="3:4" ht="17.25">
      <c r="C123" s="5"/>
      <c r="D123" s="5"/>
    </row>
    <row r="124" spans="3:8" ht="17.25">
      <c r="C124" s="5"/>
      <c r="D124" s="5"/>
      <c r="H124" s="5"/>
    </row>
    <row r="125" spans="3:4" ht="17.25">
      <c r="C125" s="5"/>
      <c r="D125" s="5"/>
    </row>
    <row r="126" spans="3:4" ht="17.25">
      <c r="C126" s="5"/>
      <c r="D126" s="5"/>
    </row>
    <row r="127" spans="3:4" ht="17.25">
      <c r="C127" s="5"/>
      <c r="D127" s="5"/>
    </row>
    <row r="128" spans="3:4" ht="17.25">
      <c r="C128" s="5"/>
      <c r="D128" s="5"/>
    </row>
    <row r="129" spans="3:8" ht="17.25">
      <c r="C129" s="5"/>
      <c r="D129" s="5"/>
      <c r="G129" s="5"/>
      <c r="H129" s="5"/>
    </row>
    <row r="130" spans="3:4" ht="17.25">
      <c r="C130" s="5"/>
      <c r="D130" s="5"/>
    </row>
    <row r="131" spans="3:4" ht="17.25">
      <c r="C131" s="5"/>
      <c r="D131" s="5"/>
    </row>
    <row r="132" spans="3:4" ht="17.25">
      <c r="C132" s="5"/>
      <c r="D132" s="5"/>
    </row>
    <row r="133" spans="3:4" ht="17.25">
      <c r="C133" s="5"/>
      <c r="D133" s="5"/>
    </row>
    <row r="134" spans="3:4" ht="17.25">
      <c r="C134" s="5"/>
      <c r="D134" s="5"/>
    </row>
    <row r="135" spans="3:4" ht="17.25">
      <c r="C135" s="5"/>
      <c r="D135" s="5"/>
    </row>
    <row r="136" spans="3:4" ht="17.25">
      <c r="C136" s="5"/>
      <c r="D136" s="5"/>
    </row>
    <row r="137" spans="3:4" ht="17.25">
      <c r="C137" s="5"/>
      <c r="D137" s="5"/>
    </row>
    <row r="138" spans="3:4" ht="17.25">
      <c r="C138" s="5"/>
      <c r="D138" s="5"/>
    </row>
    <row r="139" spans="3:5" ht="17.25">
      <c r="C139" s="5"/>
      <c r="D139" s="5"/>
      <c r="E139" s="5"/>
    </row>
  </sheetData>
  <printOptions/>
  <pageMargins left="0.5" right="1.17" top="0.52" bottom="0.51" header="0.512" footer="0.51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TNK2</dc:creator>
  <cp:keywords/>
  <dc:description/>
  <cp:lastModifiedBy>TNK2</cp:lastModifiedBy>
  <cp:lastPrinted>1998-01-18T15:08:54Z</cp:lastPrinted>
  <dcterms:created xsi:type="dcterms:W3CDTF">1998-01-18T12:05:53Z</dcterms:created>
  <cp:category/>
  <cp:version/>
  <cp:contentType/>
  <cp:contentStatus/>
</cp:coreProperties>
</file>