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<sst xmlns="http://schemas.openxmlformats.org/spreadsheetml/2006/main" count="112" uniqueCount="102">
  <si>
    <t>値</t>
  </si>
  <si>
    <t>x</t>
  </si>
  <si>
    <t>t</t>
  </si>
  <si>
    <t>Mw</t>
  </si>
  <si>
    <t>u</t>
  </si>
  <si>
    <t>V</t>
  </si>
  <si>
    <t>dm</t>
  </si>
  <si>
    <t>dV</t>
  </si>
  <si>
    <t>dp</t>
  </si>
  <si>
    <t>dx</t>
  </si>
  <si>
    <t>時刻</t>
  </si>
  <si>
    <t>速さ</t>
  </si>
  <si>
    <t>秒</t>
  </si>
  <si>
    <t>m/s</t>
  </si>
  <si>
    <t>m</t>
  </si>
  <si>
    <t>N/m^2</t>
  </si>
  <si>
    <t>記号</t>
  </si>
  <si>
    <t>物理量</t>
  </si>
  <si>
    <t>単位</t>
  </si>
  <si>
    <t>kg</t>
  </si>
  <si>
    <t>水の噴出速度</t>
  </si>
  <si>
    <t>推力</t>
  </si>
  <si>
    <t>N</t>
  </si>
  <si>
    <t>ボトル内の水の量の変化</t>
  </si>
  <si>
    <t>ボトル内の圧力の変化</t>
  </si>
  <si>
    <t>ボトル内の空気の体積の変化</t>
  </si>
  <si>
    <t>ボトル内の水の質量</t>
  </si>
  <si>
    <t>ボトル内の空気の体積</t>
  </si>
  <si>
    <t>m^3</t>
  </si>
  <si>
    <t>m^3</t>
  </si>
  <si>
    <t>N/m^2</t>
  </si>
  <si>
    <t>m/s</t>
  </si>
  <si>
    <t>ｍ</t>
  </si>
  <si>
    <t>計算式</t>
  </si>
  <si>
    <t>ｔ＋dt</t>
  </si>
  <si>
    <t>x+dx</t>
  </si>
  <si>
    <t>Mw+dm</t>
  </si>
  <si>
    <t>Sqr(2 * (P - Patm) / Dw)</t>
  </si>
  <si>
    <t>P</t>
  </si>
  <si>
    <t xml:space="preserve"> ux * dt</t>
  </si>
  <si>
    <t>設定値</t>
  </si>
  <si>
    <t>a</t>
  </si>
  <si>
    <t>水の密度</t>
  </si>
  <si>
    <t>kg/m^3</t>
  </si>
  <si>
    <t>初期値</t>
  </si>
  <si>
    <t>初速度</t>
  </si>
  <si>
    <t>初めの位置</t>
  </si>
  <si>
    <t>円周率</t>
  </si>
  <si>
    <t>pai</t>
  </si>
  <si>
    <t>大気圧</t>
  </si>
  <si>
    <t>Patm</t>
  </si>
  <si>
    <t>Dw</t>
  </si>
  <si>
    <t>空気の比熱比</t>
  </si>
  <si>
    <t>Gamma</t>
  </si>
  <si>
    <t>噴射口断面積</t>
  </si>
  <si>
    <t>ロケット本体質量</t>
  </si>
  <si>
    <t>発射時のタンク内の空気の圧力</t>
  </si>
  <si>
    <t>発射時のタンク内の水の質量</t>
  </si>
  <si>
    <t>計算ステップ</t>
  </si>
  <si>
    <t>dt</t>
  </si>
  <si>
    <t>円周率π</t>
  </si>
  <si>
    <t>大気圧[N/m^2] を 1気圧＝ 1.013 * 10 ^ 5　N/m^2　とする</t>
  </si>
  <si>
    <t xml:space="preserve">空気の比熱比  γ= 1.4 </t>
  </si>
  <si>
    <t>噴射口断面積    a = pai * (4.2 * 10 ^ (-3)) ^ 2  [m^2]　半径から計算</t>
  </si>
  <si>
    <t>P_start</t>
  </si>
  <si>
    <t>Mw_start</t>
  </si>
  <si>
    <t>発射時のタンク内の空気の圧力 P_start = 7 * Patm [N/m^2]（今、7気圧に設定）</t>
  </si>
  <si>
    <t>発射時のタンク内の水の質量[kg]（初期値）　0.60kgに設定</t>
  </si>
  <si>
    <t>ロケット本体質量    Mb = .165kg 1.5Lペットボトルの質量</t>
  </si>
  <si>
    <t>[kg]</t>
  </si>
  <si>
    <t>m^2</t>
  </si>
  <si>
    <t>Kg</t>
  </si>
  <si>
    <t>位置</t>
  </si>
  <si>
    <t>加速度</t>
  </si>
  <si>
    <t xml:space="preserve"> F(Mb + Mw) </t>
  </si>
  <si>
    <t>α</t>
  </si>
  <si>
    <t>v</t>
  </si>
  <si>
    <t>F</t>
  </si>
  <si>
    <t>v+dv</t>
  </si>
  <si>
    <t>dv</t>
  </si>
  <si>
    <t>速度の変化</t>
  </si>
  <si>
    <t>圧力タンク体積</t>
  </si>
  <si>
    <t>Vb</t>
  </si>
  <si>
    <t>Mb</t>
  </si>
  <si>
    <t>ロケットの圧力タンクの体積　Vb=1.5*10^(-3)[m^3] １．５Lとする。</t>
  </si>
  <si>
    <t>m^3</t>
  </si>
  <si>
    <t>s</t>
  </si>
  <si>
    <t>数値計算の時間ステップ[秒]</t>
  </si>
  <si>
    <t>ボトル内の圧力</t>
  </si>
  <si>
    <t>Dw * a * u ^ 2</t>
  </si>
  <si>
    <t>P+dP</t>
  </si>
  <si>
    <t>m/s^2</t>
  </si>
  <si>
    <t xml:space="preserve"> α* dt </t>
  </si>
  <si>
    <t xml:space="preserve"> Vb - Mw / Dw</t>
  </si>
  <si>
    <t>水の密度    Dw = 1.0 * 10 ^ 3 [kg/m^3]</t>
  </si>
  <si>
    <t>-Dw * a * u * dt</t>
  </si>
  <si>
    <t xml:space="preserve"> a*u*dt</t>
  </si>
  <si>
    <t>-Gamma * P * dV / V</t>
  </si>
  <si>
    <t>m</t>
  </si>
  <si>
    <t>変化量の計算</t>
  </si>
  <si>
    <t>位置の変化</t>
  </si>
  <si>
    <t>圧力タンク型水ロケットカー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</si>
</sst>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5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11" borderId="10" xfId="0" applyFill="1" applyBorder="1" applyAlignment="1">
      <alignment horizontal="center" shrinkToFit="1"/>
    </xf>
    <xf numFmtId="0" fontId="0" fillId="0" borderId="10" xfId="0" applyBorder="1" applyAlignment="1">
      <alignment horizontal="right" vertical="center"/>
    </xf>
    <xf numFmtId="0" fontId="0" fillId="11" borderId="12" xfId="0" applyFill="1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11" borderId="11" xfId="0" applyFill="1" applyBorder="1" applyAlignment="1">
      <alignment horizontal="center" shrinkToFit="1"/>
    </xf>
    <xf numFmtId="0" fontId="0" fillId="11" borderId="13" xfId="0" applyFill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11" borderId="17" xfId="0" applyFill="1" applyBorder="1" applyAlignment="1">
      <alignment horizontal="center" shrinkToFit="1"/>
    </xf>
    <xf numFmtId="0" fontId="0" fillId="11" borderId="18" xfId="0" applyFill="1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11" borderId="13" xfId="0" applyFill="1" applyBorder="1" applyAlignment="1">
      <alignment horizontal="center" vertical="center" wrapText="1" shrinkToFit="1"/>
    </xf>
    <xf numFmtId="0" fontId="0" fillId="11" borderId="24" xfId="0" applyFill="1" applyBorder="1" applyAlignment="1">
      <alignment horizontal="center" vertical="center" wrapText="1" shrinkToFit="1"/>
    </xf>
    <xf numFmtId="0" fontId="0" fillId="11" borderId="25" xfId="0" applyFill="1" applyBorder="1" applyAlignment="1">
      <alignment horizontal="center" shrinkToFit="1"/>
    </xf>
    <xf numFmtId="0" fontId="0" fillId="11" borderId="26" xfId="0" applyFill="1" applyBorder="1" applyAlignment="1">
      <alignment horizontal="center" shrinkToFit="1"/>
    </xf>
    <xf numFmtId="0" fontId="0" fillId="11" borderId="27" xfId="0" applyFill="1" applyBorder="1" applyAlignment="1">
      <alignment horizontal="center" shrinkToFit="1"/>
    </xf>
    <xf numFmtId="0" fontId="0" fillId="11" borderId="28" xfId="0" applyFill="1" applyBorder="1" applyAlignment="1">
      <alignment horizontal="center"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5" borderId="19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wrapText="1" shrinkToFit="1"/>
    </xf>
    <xf numFmtId="0" fontId="0" fillId="5" borderId="29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wrapText="1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31" xfId="0" applyFill="1" applyBorder="1" applyAlignment="1">
      <alignment horizontal="center" vertical="center" wrapText="1" shrinkToFit="1"/>
    </xf>
    <xf numFmtId="0" fontId="0" fillId="5" borderId="32" xfId="0" applyFill="1" applyBorder="1" applyAlignment="1">
      <alignment horizontal="center" vertical="center" wrapText="1" shrinkToFit="1"/>
    </xf>
    <xf numFmtId="0" fontId="0" fillId="5" borderId="33" xfId="0" applyFill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wrapText="1" shrinkToFit="1"/>
    </xf>
    <xf numFmtId="0" fontId="0" fillId="5" borderId="24" xfId="0" applyFill="1" applyBorder="1" applyAlignment="1">
      <alignment horizontal="center" vertical="center" wrapText="1" shrinkToFit="1"/>
    </xf>
    <xf numFmtId="0" fontId="0" fillId="5" borderId="31" xfId="0" applyFill="1" applyBorder="1" applyAlignment="1" quotePrefix="1">
      <alignment horizontal="center" vertical="center" wrapText="1" shrinkToFit="1"/>
    </xf>
    <xf numFmtId="0" fontId="0" fillId="5" borderId="32" xfId="0" applyFill="1" applyBorder="1" applyAlignment="1" quotePrefix="1">
      <alignment horizontal="center" vertical="center" wrapText="1" shrinkToFit="1"/>
    </xf>
    <xf numFmtId="0" fontId="0" fillId="5" borderId="35" xfId="0" applyFill="1" applyBorder="1" applyAlignment="1">
      <alignment horizontal="center" shrinkToFit="1"/>
    </xf>
    <xf numFmtId="0" fontId="0" fillId="5" borderId="36" xfId="0" applyFill="1" applyBorder="1" applyAlignment="1">
      <alignment horizontal="center" shrinkToFit="1"/>
    </xf>
    <xf numFmtId="0" fontId="0" fillId="5" borderId="37" xfId="0" applyFill="1" applyBorder="1" applyAlignment="1">
      <alignment horizontal="center" shrinkToFit="1"/>
    </xf>
    <xf numFmtId="0" fontId="0" fillId="5" borderId="38" xfId="0" applyFill="1" applyBorder="1" applyAlignment="1">
      <alignment horizontal="center" shrinkToFit="1"/>
    </xf>
    <xf numFmtId="0" fontId="0" fillId="5" borderId="25" xfId="0" applyFill="1" applyBorder="1" applyAlignment="1">
      <alignment horizont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17" borderId="39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0" fillId="15" borderId="17" xfId="0" applyFill="1" applyBorder="1" applyAlignment="1">
      <alignment shrinkToFit="1"/>
    </xf>
    <xf numFmtId="0" fontId="0" fillId="15" borderId="11" xfId="0" applyFill="1" applyBorder="1" applyAlignment="1">
      <alignment shrinkToFit="1"/>
    </xf>
    <xf numFmtId="0" fontId="0" fillId="15" borderId="18" xfId="0" applyFill="1" applyBorder="1" applyAlignment="1">
      <alignment shrinkToFit="1"/>
    </xf>
    <xf numFmtId="0" fontId="0" fillId="14" borderId="15" xfId="0" applyFill="1" applyBorder="1" applyAlignment="1">
      <alignment shrinkToFit="1"/>
    </xf>
    <xf numFmtId="0" fontId="0" fillId="14" borderId="11" xfId="0" applyFill="1" applyBorder="1" applyAlignment="1">
      <alignment shrinkToFit="1"/>
    </xf>
    <xf numFmtId="0" fontId="0" fillId="14" borderId="16" xfId="0" applyFill="1" applyBorder="1" applyAlignment="1">
      <alignment shrinkToFit="1"/>
    </xf>
    <xf numFmtId="0" fontId="0" fillId="19" borderId="17" xfId="0" applyFill="1" applyBorder="1" applyAlignment="1">
      <alignment shrinkToFit="1"/>
    </xf>
    <xf numFmtId="0" fontId="0" fillId="19" borderId="11" xfId="0" applyFill="1" applyBorder="1" applyAlignment="1">
      <alignment shrinkToFit="1"/>
    </xf>
    <xf numFmtId="0" fontId="0" fillId="19" borderId="18" xfId="0" applyFill="1" applyBorder="1" applyAlignment="1">
      <alignment shrinkToFit="1"/>
    </xf>
    <xf numFmtId="0" fontId="0" fillId="10" borderId="19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0" fillId="10" borderId="29" xfId="0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155"/>
          <c:w val="0.863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Sheet1!$C$30:$C$58</c:f>
              <c:numCache/>
            </c:numRef>
          </c:xVal>
          <c:yVal>
            <c:numRef>
              <c:f>Sheet1!$D$30:$D$58</c:f>
              <c:numCache/>
            </c:numRef>
          </c:yVal>
          <c:smooth val="0"/>
        </c:ser>
        <c:axId val="37389854"/>
        <c:axId val="964367"/>
      </c:scatterChart>
      <c:val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367"/>
        <c:crosses val="autoZero"/>
        <c:crossBetween val="midCat"/>
        <c:dispUnits/>
      </c:valAx>
      <c:valAx>
        <c:axId val="964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m/s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84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9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1625"/>
          <c:w val="0.86925"/>
          <c:h val="0.81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Sheet1!$C$30:$C$58</c:f>
              <c:numCache/>
            </c:numRef>
          </c:xVal>
          <c:yVal>
            <c:numRef>
              <c:f>Sheet1!$I$30:$I$58</c:f>
              <c:numCache/>
            </c:numRef>
          </c:yVal>
          <c:smooth val="0"/>
        </c:ser>
        <c:axId val="8679304"/>
        <c:axId val="11004873"/>
      </c:scatterChart>
      <c:val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4873"/>
        <c:crosses val="autoZero"/>
        <c:crossBetween val="midCat"/>
        <c:dispUnits/>
      </c:valAx>
      <c:valAx>
        <c:axId val="11004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推力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9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19</xdr:row>
      <xdr:rowOff>323850</xdr:rowOff>
    </xdr:from>
    <xdr:to>
      <xdr:col>22</xdr:col>
      <xdr:colOff>95250</xdr:colOff>
      <xdr:row>28</xdr:row>
      <xdr:rowOff>38100</xdr:rowOff>
    </xdr:to>
    <xdr:graphicFrame>
      <xdr:nvGraphicFramePr>
        <xdr:cNvPr id="1" name="グラフ 2"/>
        <xdr:cNvGraphicFramePr/>
      </xdr:nvGraphicFramePr>
      <xdr:xfrm>
        <a:off x="11982450" y="3943350"/>
        <a:ext cx="42005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4</xdr:row>
      <xdr:rowOff>66675</xdr:rowOff>
    </xdr:from>
    <xdr:to>
      <xdr:col>22</xdr:col>
      <xdr:colOff>95250</xdr:colOff>
      <xdr:row>19</xdr:row>
      <xdr:rowOff>257175</xdr:rowOff>
    </xdr:to>
    <xdr:graphicFrame>
      <xdr:nvGraphicFramePr>
        <xdr:cNvPr id="2" name="グラフ 2"/>
        <xdr:cNvGraphicFramePr/>
      </xdr:nvGraphicFramePr>
      <xdr:xfrm>
        <a:off x="11982450" y="838200"/>
        <a:ext cx="4200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200025</xdr:colOff>
      <xdr:row>1</xdr:row>
      <xdr:rowOff>95250</xdr:rowOff>
    </xdr:from>
    <xdr:to>
      <xdr:col>16</xdr:col>
      <xdr:colOff>76200</xdr:colOff>
      <xdr:row>11</xdr:row>
      <xdr:rowOff>114300</xdr:rowOff>
    </xdr:to>
    <xdr:pic>
      <xdr:nvPicPr>
        <xdr:cNvPr id="3" name="図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266700"/>
          <a:ext cx="2657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31</xdr:row>
      <xdr:rowOff>0</xdr:rowOff>
    </xdr:from>
    <xdr:to>
      <xdr:col>2</xdr:col>
      <xdr:colOff>419100</xdr:colOff>
      <xdr:row>34</xdr:row>
      <xdr:rowOff>114300</xdr:rowOff>
    </xdr:to>
    <xdr:sp>
      <xdr:nvSpPr>
        <xdr:cNvPr id="4" name="線吹き出し 2 (枠付き) 49"/>
        <xdr:cNvSpPr>
          <a:spLocks/>
        </xdr:cNvSpPr>
      </xdr:nvSpPr>
      <xdr:spPr>
        <a:xfrm>
          <a:off x="657225" y="7410450"/>
          <a:ext cx="1809750" cy="600075"/>
        </a:xfrm>
        <a:prstGeom prst="borderCallout2">
          <a:avLst>
            <a:gd name="adj1" fmla="val 86680"/>
            <a:gd name="adj2" fmla="val -84726"/>
            <a:gd name="adj3" fmla="val 7509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  <xdr:twoCellAnchor>
    <xdr:from>
      <xdr:col>5</xdr:col>
      <xdr:colOff>85725</xdr:colOff>
      <xdr:row>35</xdr:row>
      <xdr:rowOff>142875</xdr:rowOff>
    </xdr:from>
    <xdr:to>
      <xdr:col>7</xdr:col>
      <xdr:colOff>657225</xdr:colOff>
      <xdr:row>39</xdr:row>
      <xdr:rowOff>104775</xdr:rowOff>
    </xdr:to>
    <xdr:sp>
      <xdr:nvSpPr>
        <xdr:cNvPr id="5" name="線吹き出し 2 (枠付き) 51"/>
        <xdr:cNvSpPr>
          <a:spLocks/>
        </xdr:cNvSpPr>
      </xdr:nvSpPr>
      <xdr:spPr>
        <a:xfrm>
          <a:off x="4352925" y="8201025"/>
          <a:ext cx="1962150" cy="609600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8497B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②、①の値をもとに計算する</a:t>
          </a:r>
        </a:p>
      </xdr:txBody>
    </xdr:sp>
    <xdr:clientData/>
  </xdr:twoCellAnchor>
  <xdr:twoCellAnchor>
    <xdr:from>
      <xdr:col>14</xdr:col>
      <xdr:colOff>533400</xdr:colOff>
      <xdr:row>31</xdr:row>
      <xdr:rowOff>142875</xdr:rowOff>
    </xdr:from>
    <xdr:to>
      <xdr:col>17</xdr:col>
      <xdr:colOff>419100</xdr:colOff>
      <xdr:row>35</xdr:row>
      <xdr:rowOff>104775</xdr:rowOff>
    </xdr:to>
    <xdr:sp>
      <xdr:nvSpPr>
        <xdr:cNvPr id="6" name="線吹き出し 2 (枠付き) 52"/>
        <xdr:cNvSpPr>
          <a:spLocks/>
        </xdr:cNvSpPr>
      </xdr:nvSpPr>
      <xdr:spPr>
        <a:xfrm>
          <a:off x="11058525" y="7553325"/>
          <a:ext cx="1971675" cy="609600"/>
        </a:xfrm>
        <a:prstGeom prst="borderCallout2">
          <a:avLst>
            <a:gd name="adj1" fmla="val -110574"/>
            <a:gd name="adj2" fmla="val -106495"/>
            <a:gd name="adj3" fmla="val -77787"/>
            <a:gd name="adj4" fmla="val -14273"/>
            <a:gd name="adj5" fmla="val -51171"/>
            <a:gd name="adj6" fmla="val -10166"/>
          </a:avLst>
        </a:prstGeom>
        <a:solidFill>
          <a:srgbClr val="FFFFFF"/>
        </a:solidFill>
        <a:ln w="12700" cmpd="sng">
          <a:solidFill>
            <a:srgbClr val="54823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③変化量を求める</a:t>
          </a:r>
        </a:p>
      </xdr:txBody>
    </xdr:sp>
    <xdr:clientData/>
  </xdr:twoCellAnchor>
  <xdr:twoCellAnchor>
    <xdr:from>
      <xdr:col>0</xdr:col>
      <xdr:colOff>504825</xdr:colOff>
      <xdr:row>36</xdr:row>
      <xdr:rowOff>133350</xdr:rowOff>
    </xdr:from>
    <xdr:to>
      <xdr:col>2</xdr:col>
      <xdr:colOff>285750</xdr:colOff>
      <xdr:row>40</xdr:row>
      <xdr:rowOff>85725</xdr:rowOff>
    </xdr:to>
    <xdr:sp>
      <xdr:nvSpPr>
        <xdr:cNvPr id="7" name="線吹き出し 2 (枠付き) 53"/>
        <xdr:cNvSpPr>
          <a:spLocks/>
        </xdr:cNvSpPr>
      </xdr:nvSpPr>
      <xdr:spPr>
        <a:xfrm>
          <a:off x="504825" y="8353425"/>
          <a:ext cx="1828800" cy="600075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④、①の値に③を加える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58"/>
  <sheetViews>
    <sheetView tabSelected="1" zoomScale="74" zoomScaleNormal="74" zoomScalePageLayoutView="0" workbookViewId="0" topLeftCell="A1">
      <selection activeCell="V39" sqref="V39"/>
    </sheetView>
  </sheetViews>
  <sheetFormatPr defaultColWidth="9.00390625" defaultRowHeight="13.5"/>
  <cols>
    <col min="1" max="1" width="9.625" style="0" customWidth="1"/>
    <col min="2" max="2" width="17.25390625" style="0" customWidth="1"/>
    <col min="3" max="3" width="10.875" style="0" customWidth="1"/>
    <col min="4" max="26" width="9.125" style="0" customWidth="1"/>
  </cols>
  <sheetData>
    <row r="3" ht="14.25" thickBot="1">
      <c r="D3" s="7"/>
    </row>
    <row r="4" spans="3:12" ht="19.5" thickBot="1">
      <c r="C4" s="70" t="s">
        <v>101</v>
      </c>
      <c r="D4" s="71"/>
      <c r="E4" s="71"/>
      <c r="F4" s="71"/>
      <c r="G4" s="71"/>
      <c r="H4" s="71"/>
      <c r="I4" s="71"/>
      <c r="J4" s="71"/>
      <c r="K4" s="71"/>
      <c r="L4" s="72"/>
    </row>
    <row r="6" ht="13.5">
      <c r="D6" s="7"/>
    </row>
    <row r="7" spans="2:5" ht="13.5">
      <c r="B7" s="16" t="s">
        <v>40</v>
      </c>
      <c r="C7" s="9" t="s">
        <v>16</v>
      </c>
      <c r="D7" s="9" t="s">
        <v>0</v>
      </c>
      <c r="E7" s="9" t="s">
        <v>18</v>
      </c>
    </row>
    <row r="8" spans="2:16" ht="15" customHeight="1">
      <c r="B8" s="17" t="s">
        <v>47</v>
      </c>
      <c r="C8" s="10" t="s">
        <v>48</v>
      </c>
      <c r="D8" s="14">
        <v>3.141592654</v>
      </c>
      <c r="E8" s="10"/>
      <c r="F8" s="66" t="s">
        <v>60</v>
      </c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15" customHeight="1">
      <c r="B9" s="17" t="s">
        <v>49</v>
      </c>
      <c r="C9" s="10" t="s">
        <v>50</v>
      </c>
      <c r="D9" s="14">
        <f>1.013*10^5</f>
        <v>101299.99999999999</v>
      </c>
      <c r="E9" s="10" t="s">
        <v>30</v>
      </c>
      <c r="F9" s="66" t="s">
        <v>61</v>
      </c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15" customHeight="1">
      <c r="B10" s="17" t="s">
        <v>42</v>
      </c>
      <c r="C10" s="10" t="s">
        <v>51</v>
      </c>
      <c r="D10" s="14">
        <f>1*10^3</f>
        <v>1000</v>
      </c>
      <c r="E10" s="10" t="s">
        <v>43</v>
      </c>
      <c r="F10" s="66" t="s">
        <v>94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5" customHeight="1">
      <c r="B11" s="17" t="s">
        <v>52</v>
      </c>
      <c r="C11" s="10" t="s">
        <v>53</v>
      </c>
      <c r="D11" s="14">
        <v>1.4</v>
      </c>
      <c r="E11" s="10"/>
      <c r="F11" s="66" t="s">
        <v>62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2:16" ht="15" customHeight="1">
      <c r="B12" s="17" t="s">
        <v>54</v>
      </c>
      <c r="C12" s="10" t="s">
        <v>41</v>
      </c>
      <c r="D12" s="14">
        <f>D8*(4.2*10^(-3))^2</f>
        <v>5.5417694416560016E-05</v>
      </c>
      <c r="E12" s="10" t="s">
        <v>70</v>
      </c>
      <c r="F12" s="66" t="s">
        <v>63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 ht="15" customHeight="1">
      <c r="B13" s="17" t="s">
        <v>55</v>
      </c>
      <c r="C13" s="10" t="s">
        <v>83</v>
      </c>
      <c r="D13" s="14">
        <v>0.165</v>
      </c>
      <c r="E13" s="10" t="s">
        <v>69</v>
      </c>
      <c r="F13" s="66" t="s">
        <v>68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6" ht="15" customHeight="1">
      <c r="B14" s="17" t="s">
        <v>81</v>
      </c>
      <c r="C14" s="10" t="s">
        <v>82</v>
      </c>
      <c r="D14" s="14">
        <f>1.5*10^(-3)</f>
        <v>0.0015</v>
      </c>
      <c r="E14" s="10" t="s">
        <v>85</v>
      </c>
      <c r="F14" s="20" t="s">
        <v>84</v>
      </c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 ht="15" customHeight="1">
      <c r="B15" s="17" t="s">
        <v>58</v>
      </c>
      <c r="C15" s="10" t="s">
        <v>59</v>
      </c>
      <c r="D15" s="14">
        <v>0.02</v>
      </c>
      <c r="E15" s="10" t="s">
        <v>86</v>
      </c>
      <c r="F15" s="63" t="s">
        <v>87</v>
      </c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3:16" ht="12.75">
      <c r="C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3:16" ht="12.75">
      <c r="C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 t="s">
        <v>44</v>
      </c>
      <c r="C18" s="15" t="s">
        <v>16</v>
      </c>
      <c r="D18" s="9" t="s">
        <v>0</v>
      </c>
      <c r="E18" s="15" t="s">
        <v>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25.5">
      <c r="B19" s="12" t="s">
        <v>56</v>
      </c>
      <c r="C19" s="18" t="s">
        <v>64</v>
      </c>
      <c r="D19" s="24">
        <f>7*D9</f>
        <v>709099.9999999999</v>
      </c>
      <c r="E19" s="19" t="s">
        <v>30</v>
      </c>
      <c r="F19" s="66" t="s">
        <v>66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 ht="25.5">
      <c r="B20" s="12" t="s">
        <v>57</v>
      </c>
      <c r="C20" s="19" t="s">
        <v>65</v>
      </c>
      <c r="D20" s="24">
        <v>0.6</v>
      </c>
      <c r="E20" s="19" t="s">
        <v>71</v>
      </c>
      <c r="F20" s="66" t="s">
        <v>67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5" ht="19.5" customHeight="1">
      <c r="B21" s="12" t="s">
        <v>45</v>
      </c>
      <c r="C21" s="19"/>
      <c r="D21" s="24">
        <v>0</v>
      </c>
      <c r="E21" s="19" t="s">
        <v>13</v>
      </c>
    </row>
    <row r="22" spans="2:5" ht="19.5" customHeight="1">
      <c r="B22" s="12" t="s">
        <v>46</v>
      </c>
      <c r="C22" s="19"/>
      <c r="D22" s="24">
        <v>0</v>
      </c>
      <c r="E22" s="19" t="s">
        <v>98</v>
      </c>
    </row>
    <row r="23" spans="2:4" ht="12.75">
      <c r="B23" s="13"/>
      <c r="D23" s="7"/>
    </row>
    <row r="24" spans="2:4" ht="12.75" thickBot="1">
      <c r="B24" s="13"/>
      <c r="D24" s="7"/>
    </row>
    <row r="25" spans="12:16" ht="12.75" thickBot="1">
      <c r="L25" s="67" t="s">
        <v>99</v>
      </c>
      <c r="M25" s="68"/>
      <c r="N25" s="68"/>
      <c r="O25" s="68"/>
      <c r="P25" s="69"/>
    </row>
    <row r="26" spans="2:16" s="3" customFormat="1" ht="12.75">
      <c r="B26" s="28" t="s">
        <v>16</v>
      </c>
      <c r="C26" s="41" t="s">
        <v>2</v>
      </c>
      <c r="D26" s="42" t="s">
        <v>76</v>
      </c>
      <c r="E26" s="42" t="s">
        <v>1</v>
      </c>
      <c r="F26" s="42" t="s">
        <v>38</v>
      </c>
      <c r="G26" s="43" t="s">
        <v>3</v>
      </c>
      <c r="H26" s="25" t="s">
        <v>4</v>
      </c>
      <c r="I26" s="23" t="s">
        <v>77</v>
      </c>
      <c r="J26" s="23" t="s">
        <v>75</v>
      </c>
      <c r="K26" s="28" t="s">
        <v>5</v>
      </c>
      <c r="L26" s="30" t="s">
        <v>6</v>
      </c>
      <c r="M26" s="27" t="s">
        <v>7</v>
      </c>
      <c r="N26" s="27" t="s">
        <v>8</v>
      </c>
      <c r="O26" s="27" t="s">
        <v>79</v>
      </c>
      <c r="P26" s="31" t="s">
        <v>9</v>
      </c>
    </row>
    <row r="27" spans="2:16" s="2" customFormat="1" ht="58.5" customHeight="1">
      <c r="B27" s="38" t="s">
        <v>17</v>
      </c>
      <c r="C27" s="46" t="s">
        <v>10</v>
      </c>
      <c r="D27" s="47" t="s">
        <v>11</v>
      </c>
      <c r="E27" s="47" t="s">
        <v>72</v>
      </c>
      <c r="F27" s="47" t="s">
        <v>88</v>
      </c>
      <c r="G27" s="48" t="s">
        <v>26</v>
      </c>
      <c r="H27" s="49" t="s">
        <v>20</v>
      </c>
      <c r="I27" s="47" t="s">
        <v>21</v>
      </c>
      <c r="J27" s="47" t="s">
        <v>73</v>
      </c>
      <c r="K27" s="50" t="s">
        <v>27</v>
      </c>
      <c r="L27" s="46" t="s">
        <v>23</v>
      </c>
      <c r="M27" s="47" t="s">
        <v>25</v>
      </c>
      <c r="N27" s="47" t="s">
        <v>24</v>
      </c>
      <c r="O27" s="47" t="s">
        <v>80</v>
      </c>
      <c r="P27" s="48" t="s">
        <v>100</v>
      </c>
    </row>
    <row r="28" spans="2:16" s="2" customFormat="1" ht="86.25" customHeight="1">
      <c r="B28" s="39" t="s">
        <v>33</v>
      </c>
      <c r="C28" s="51" t="s">
        <v>34</v>
      </c>
      <c r="D28" s="52" t="s">
        <v>78</v>
      </c>
      <c r="E28" s="52" t="s">
        <v>35</v>
      </c>
      <c r="F28" s="52" t="s">
        <v>90</v>
      </c>
      <c r="G28" s="53" t="s">
        <v>36</v>
      </c>
      <c r="H28" s="54" t="s">
        <v>37</v>
      </c>
      <c r="I28" s="52" t="s">
        <v>89</v>
      </c>
      <c r="J28" s="52" t="s">
        <v>74</v>
      </c>
      <c r="K28" s="55" t="s">
        <v>93</v>
      </c>
      <c r="L28" s="56" t="s">
        <v>95</v>
      </c>
      <c r="M28" s="52" t="s">
        <v>96</v>
      </c>
      <c r="N28" s="57" t="s">
        <v>97</v>
      </c>
      <c r="O28" s="52" t="s">
        <v>92</v>
      </c>
      <c r="P28" s="53" t="s">
        <v>39</v>
      </c>
    </row>
    <row r="29" spans="2:16" s="3" customFormat="1" ht="12.75" thickBot="1">
      <c r="B29" s="40" t="s">
        <v>18</v>
      </c>
      <c r="C29" s="58" t="s">
        <v>12</v>
      </c>
      <c r="D29" s="59" t="s">
        <v>13</v>
      </c>
      <c r="E29" s="59" t="s">
        <v>14</v>
      </c>
      <c r="F29" s="59" t="s">
        <v>15</v>
      </c>
      <c r="G29" s="60" t="s">
        <v>19</v>
      </c>
      <c r="H29" s="61" t="s">
        <v>13</v>
      </c>
      <c r="I29" s="59" t="s">
        <v>22</v>
      </c>
      <c r="J29" s="59" t="s">
        <v>91</v>
      </c>
      <c r="K29" s="62" t="s">
        <v>28</v>
      </c>
      <c r="L29" s="58" t="s">
        <v>19</v>
      </c>
      <c r="M29" s="59" t="s">
        <v>29</v>
      </c>
      <c r="N29" s="59" t="s">
        <v>30</v>
      </c>
      <c r="O29" s="59" t="s">
        <v>31</v>
      </c>
      <c r="P29" s="60" t="s">
        <v>32</v>
      </c>
    </row>
    <row r="30" spans="3:16" s="1" customFormat="1" ht="12.75" thickTop="1">
      <c r="C30" s="73">
        <v>0</v>
      </c>
      <c r="D30" s="74">
        <f>$D$21</f>
        <v>0</v>
      </c>
      <c r="E30" s="74">
        <f>$D$22</f>
        <v>0</v>
      </c>
      <c r="F30" s="74">
        <f>$D$19</f>
        <v>709099.9999999999</v>
      </c>
      <c r="G30" s="75">
        <f>$D$20</f>
        <v>0.6</v>
      </c>
      <c r="H30" s="76">
        <f aca="true" t="shared" si="0" ref="H30:H43">IF(G30&lt;=0,0,SQRT(2*(F30-$D$9)/$D$10))</f>
        <v>34.86545568324039</v>
      </c>
      <c r="I30" s="77">
        <f aca="true" t="shared" si="1" ref="I30:I43">IF(G30&lt;=0,0,$D$10*$D$12*H30^2)</f>
        <v>67.36574933277033</v>
      </c>
      <c r="J30" s="77">
        <f>I30/($D$13+G30)</f>
        <v>88.05980304937299</v>
      </c>
      <c r="K30" s="78">
        <f>$D$14-G30/$D$10</f>
        <v>0.0009000000000000001</v>
      </c>
      <c r="L30" s="79">
        <f aca="true" t="shared" si="2" ref="L30:L43">-$D$10*$D$12*H30*$D$15</f>
        <v>-0.03864326337495863</v>
      </c>
      <c r="M30" s="80">
        <f>$D$12*H30*$D$15</f>
        <v>3.864326337495863E-05</v>
      </c>
      <c r="N30" s="80">
        <f aca="true" t="shared" si="3" ref="N30:N43">-$D$11*F30*M30/K30</f>
        <v>-42625.23698095158</v>
      </c>
      <c r="O30" s="80">
        <f>J30*$D$15</f>
        <v>1.7611960609874597</v>
      </c>
      <c r="P30" s="81">
        <f>D30*$D$15</f>
        <v>0</v>
      </c>
    </row>
    <row r="31" spans="3:16" s="1" customFormat="1" ht="12.75">
      <c r="C31" s="82">
        <f aca="true" t="shared" si="4" ref="C31:C43">C30+$D$15</f>
        <v>0.02</v>
      </c>
      <c r="D31" s="83">
        <f>D30+O30</f>
        <v>1.7611960609874597</v>
      </c>
      <c r="E31" s="83">
        <f>E30+P30</f>
        <v>0</v>
      </c>
      <c r="F31" s="83">
        <f aca="true" t="shared" si="5" ref="F31:F43">IF((F30+N30)&lt;=$D$9,$D$9,F30+N30)</f>
        <v>666474.7630190483</v>
      </c>
      <c r="G31" s="84">
        <f aca="true" t="shared" si="6" ref="G31:G43">IF(G30+L30&lt;=0,0,G30+L30)</f>
        <v>0.5613567366250414</v>
      </c>
      <c r="H31" s="26">
        <f t="shared" si="0"/>
        <v>33.62067111225022</v>
      </c>
      <c r="I31" s="4">
        <f t="shared" si="1"/>
        <v>62.64136461788267</v>
      </c>
      <c r="J31" s="5">
        <f aca="true" t="shared" si="7" ref="J31:J43">I31/($D$13+G31)</f>
        <v>86.24049514421904</v>
      </c>
      <c r="K31" s="29">
        <f aca="true" t="shared" si="8" ref="K31:K43">$D$14-G31/$D$10</f>
        <v>0.0009386432633749586</v>
      </c>
      <c r="L31" s="33">
        <f t="shared" si="2"/>
        <v>-0.037263601555566996</v>
      </c>
      <c r="M31" s="5">
        <f>$D$12*H31*$D$15</f>
        <v>3.7263601555566995E-05</v>
      </c>
      <c r="N31" s="4">
        <f t="shared" si="3"/>
        <v>-37042.13451376637</v>
      </c>
      <c r="O31" s="5">
        <f aca="true" t="shared" si="9" ref="O31:O43">J31*$D$15</f>
        <v>1.7248099028843809</v>
      </c>
      <c r="P31" s="32">
        <f aca="true" t="shared" si="10" ref="P31:P43">D31*$D$15</f>
        <v>0.035223921219749196</v>
      </c>
    </row>
    <row r="32" spans="3:16" s="1" customFormat="1" ht="12.75">
      <c r="C32" s="33">
        <f t="shared" si="4"/>
        <v>0.04</v>
      </c>
      <c r="D32" s="4">
        <f aca="true" t="shared" si="11" ref="D32:D43">D31+O31</f>
        <v>3.4860059638718406</v>
      </c>
      <c r="E32" s="4">
        <f aca="true" t="shared" si="12" ref="E32:E43">E31+P31</f>
        <v>0.035223921219749196</v>
      </c>
      <c r="F32" s="4">
        <f t="shared" si="5"/>
        <v>629432.6285052819</v>
      </c>
      <c r="G32" s="44">
        <f t="shared" si="6"/>
        <v>0.5240931350694744</v>
      </c>
      <c r="H32" s="26">
        <f t="shared" si="0"/>
        <v>32.50023472239183</v>
      </c>
      <c r="I32" s="4">
        <f t="shared" si="1"/>
        <v>58.535785235840635</v>
      </c>
      <c r="J32" s="5">
        <f t="shared" si="7"/>
        <v>84.94611578148874</v>
      </c>
      <c r="K32" s="29">
        <f t="shared" si="8"/>
        <v>0.0009759068649305257</v>
      </c>
      <c r="L32" s="33">
        <f t="shared" si="2"/>
        <v>-0.036021761526239676</v>
      </c>
      <c r="M32" s="5">
        <f aca="true" t="shared" si="13" ref="M32:M43">$D$12*H32*$D$15</f>
        <v>3.602176152623967E-05</v>
      </c>
      <c r="N32" s="4">
        <f t="shared" si="3"/>
        <v>-32526.239949599898</v>
      </c>
      <c r="O32" s="5">
        <f t="shared" si="9"/>
        <v>1.6989223156297748</v>
      </c>
      <c r="P32" s="32">
        <f t="shared" si="10"/>
        <v>0.0697201192774368</v>
      </c>
    </row>
    <row r="33" spans="3:16" s="1" customFormat="1" ht="12.75">
      <c r="C33" s="33">
        <f t="shared" si="4"/>
        <v>0.06</v>
      </c>
      <c r="D33" s="4">
        <f t="shared" si="11"/>
        <v>5.184928279501616</v>
      </c>
      <c r="E33" s="4">
        <f t="shared" si="12"/>
        <v>0.104944040497186</v>
      </c>
      <c r="F33" s="4">
        <f t="shared" si="5"/>
        <v>596906.388555682</v>
      </c>
      <c r="G33" s="44">
        <f t="shared" si="6"/>
        <v>0.4880713735432347</v>
      </c>
      <c r="H33" s="26">
        <f t="shared" si="0"/>
        <v>31.483531839858184</v>
      </c>
      <c r="I33" s="4">
        <f t="shared" si="1"/>
        <v>54.93072678374738</v>
      </c>
      <c r="J33" s="5">
        <f t="shared" si="7"/>
        <v>84.11136823487004</v>
      </c>
      <c r="K33" s="29">
        <f t="shared" si="8"/>
        <v>0.0010119286264567654</v>
      </c>
      <c r="L33" s="33">
        <f t="shared" si="2"/>
        <v>-0.03489489493310597</v>
      </c>
      <c r="M33" s="5">
        <f t="shared" si="13"/>
        <v>3.489489493310597E-05</v>
      </c>
      <c r="N33" s="4">
        <f t="shared" si="3"/>
        <v>-28816.834741670624</v>
      </c>
      <c r="O33" s="5">
        <f t="shared" si="9"/>
        <v>1.6822273646974009</v>
      </c>
      <c r="P33" s="32">
        <f t="shared" si="10"/>
        <v>0.10369856559003232</v>
      </c>
    </row>
    <row r="34" spans="3:16" s="1" customFormat="1" ht="12.75">
      <c r="C34" s="33">
        <f t="shared" si="4"/>
        <v>0.08</v>
      </c>
      <c r="D34" s="4">
        <f t="shared" si="11"/>
        <v>6.867155644199016</v>
      </c>
      <c r="E34" s="4">
        <f t="shared" si="12"/>
        <v>0.20864260608721832</v>
      </c>
      <c r="F34" s="4">
        <f t="shared" si="5"/>
        <v>568089.5538140114</v>
      </c>
      <c r="G34" s="44">
        <f t="shared" si="6"/>
        <v>0.4531764786101287</v>
      </c>
      <c r="H34" s="26">
        <f t="shared" si="0"/>
        <v>30.554526794372432</v>
      </c>
      <c r="I34" s="4">
        <f t="shared" si="1"/>
        <v>51.736801700214556</v>
      </c>
      <c r="J34" s="5">
        <f t="shared" si="7"/>
        <v>83.69260800174169</v>
      </c>
      <c r="K34" s="29">
        <f t="shared" si="8"/>
        <v>0.0010468235213898713</v>
      </c>
      <c r="L34" s="33">
        <f t="shared" si="2"/>
        <v>-0.03386522857866253</v>
      </c>
      <c r="M34" s="5">
        <f t="shared" si="13"/>
        <v>3.386522857866253E-05</v>
      </c>
      <c r="N34" s="4">
        <f t="shared" si="3"/>
        <v>-25729.14639377463</v>
      </c>
      <c r="O34" s="5">
        <f t="shared" si="9"/>
        <v>1.6738521600348337</v>
      </c>
      <c r="P34" s="32">
        <f t="shared" si="10"/>
        <v>0.13734311288398032</v>
      </c>
    </row>
    <row r="35" spans="3:16" s="1" customFormat="1" ht="12.75">
      <c r="C35" s="33">
        <f t="shared" si="4"/>
        <v>0.1</v>
      </c>
      <c r="D35" s="4">
        <f t="shared" si="11"/>
        <v>8.54100780423385</v>
      </c>
      <c r="E35" s="4">
        <f t="shared" si="12"/>
        <v>0.3459857189711987</v>
      </c>
      <c r="F35" s="4">
        <f t="shared" si="5"/>
        <v>542360.4074202367</v>
      </c>
      <c r="G35" s="44">
        <f t="shared" si="6"/>
        <v>0.4193112500314662</v>
      </c>
      <c r="H35" s="26">
        <f t="shared" si="0"/>
        <v>29.700518763827567</v>
      </c>
      <c r="I35" s="4">
        <f t="shared" si="1"/>
        <v>48.88510175531627</v>
      </c>
      <c r="J35" s="5">
        <f t="shared" si="7"/>
        <v>83.66277690645819</v>
      </c>
      <c r="K35" s="29">
        <f t="shared" si="8"/>
        <v>0.001080688749968534</v>
      </c>
      <c r="L35" s="33">
        <f t="shared" si="2"/>
        <v>-0.032918685457342056</v>
      </c>
      <c r="M35" s="5">
        <f t="shared" si="13"/>
        <v>3.291868545734206E-05</v>
      </c>
      <c r="N35" s="4">
        <f t="shared" si="3"/>
        <v>-23129.05387389617</v>
      </c>
      <c r="O35" s="5">
        <f t="shared" si="9"/>
        <v>1.6732555381291638</v>
      </c>
      <c r="P35" s="32">
        <f t="shared" si="10"/>
        <v>0.170820156084677</v>
      </c>
    </row>
    <row r="36" spans="3:16" s="1" customFormat="1" ht="12.75">
      <c r="C36" s="33">
        <f t="shared" si="4"/>
        <v>0.12000000000000001</v>
      </c>
      <c r="D36" s="4">
        <f t="shared" si="11"/>
        <v>10.214263342363013</v>
      </c>
      <c r="E36" s="4">
        <f t="shared" si="12"/>
        <v>0.5168058750558757</v>
      </c>
      <c r="F36" s="4">
        <f t="shared" si="5"/>
        <v>519231.35354634054</v>
      </c>
      <c r="G36" s="44">
        <f t="shared" si="6"/>
        <v>0.38639256457412413</v>
      </c>
      <c r="H36" s="26">
        <f t="shared" si="0"/>
        <v>28.91129030487365</v>
      </c>
      <c r="I36" s="4">
        <f t="shared" si="1"/>
        <v>46.321584075860805</v>
      </c>
      <c r="J36" s="5">
        <f t="shared" si="7"/>
        <v>84.00835820417335</v>
      </c>
      <c r="K36" s="29">
        <f t="shared" si="8"/>
        <v>0.0011136074354258759</v>
      </c>
      <c r="L36" s="33">
        <f t="shared" si="2"/>
        <v>-0.03204394102607884</v>
      </c>
      <c r="M36" s="5">
        <f t="shared" si="13"/>
        <v>3.204394102607884E-05</v>
      </c>
      <c r="N36" s="4">
        <f t="shared" si="3"/>
        <v>-20917.161361978448</v>
      </c>
      <c r="O36" s="5">
        <f t="shared" si="9"/>
        <v>1.680167164083467</v>
      </c>
      <c r="P36" s="32">
        <f t="shared" si="10"/>
        <v>0.20428526684726028</v>
      </c>
    </row>
    <row r="37" spans="3:16" s="1" customFormat="1" ht="12.75">
      <c r="C37" s="33">
        <f t="shared" si="4"/>
        <v>0.14</v>
      </c>
      <c r="D37" s="4">
        <f t="shared" si="11"/>
        <v>11.894430506446481</v>
      </c>
      <c r="E37" s="4">
        <f t="shared" si="12"/>
        <v>0.7210911419031361</v>
      </c>
      <c r="F37" s="4">
        <f t="shared" si="5"/>
        <v>498314.1921843621</v>
      </c>
      <c r="G37" s="44">
        <f t="shared" si="6"/>
        <v>0.3543486235480453</v>
      </c>
      <c r="H37" s="26">
        <f t="shared" si="0"/>
        <v>28.178509264486017</v>
      </c>
      <c r="I37" s="4">
        <f t="shared" si="1"/>
        <v>44.003222363020825</v>
      </c>
      <c r="J37" s="5">
        <f t="shared" si="7"/>
        <v>84.72771538779298</v>
      </c>
      <c r="K37" s="29">
        <f t="shared" si="8"/>
        <v>0.0011456513764519548</v>
      </c>
      <c r="L37" s="33">
        <f t="shared" si="2"/>
        <v>-0.031231760310669827</v>
      </c>
      <c r="M37" s="5">
        <f t="shared" si="13"/>
        <v>3.123176031066983E-05</v>
      </c>
      <c r="N37" s="4">
        <f t="shared" si="3"/>
        <v>-19018.456767422762</v>
      </c>
      <c r="O37" s="5">
        <f t="shared" si="9"/>
        <v>1.6945543077558598</v>
      </c>
      <c r="P37" s="32">
        <f t="shared" si="10"/>
        <v>0.23788861012892962</v>
      </c>
    </row>
    <row r="38" spans="3:16" s="1" customFormat="1" ht="12.75">
      <c r="C38" s="33">
        <f t="shared" si="4"/>
        <v>0.16</v>
      </c>
      <c r="D38" s="4">
        <f t="shared" si="11"/>
        <v>13.588984814202341</v>
      </c>
      <c r="E38" s="4">
        <f t="shared" si="12"/>
        <v>0.9589797520320656</v>
      </c>
      <c r="F38" s="4">
        <f t="shared" si="5"/>
        <v>479295.7354169393</v>
      </c>
      <c r="G38" s="44">
        <f t="shared" si="6"/>
        <v>0.3231168632373755</v>
      </c>
      <c r="H38" s="26">
        <f t="shared" si="0"/>
        <v>27.4952990679112</v>
      </c>
      <c r="I38" s="4">
        <f t="shared" si="1"/>
        <v>41.895304312197624</v>
      </c>
      <c r="J38" s="5">
        <f t="shared" si="7"/>
        <v>85.83047927156652</v>
      </c>
      <c r="K38" s="29">
        <f t="shared" si="8"/>
        <v>0.0011768831367626245</v>
      </c>
      <c r="L38" s="33">
        <f t="shared" si="2"/>
        <v>-0.030474521632748608</v>
      </c>
      <c r="M38" s="5">
        <f t="shared" si="13"/>
        <v>3.0474521632748606E-05</v>
      </c>
      <c r="N38" s="4">
        <f t="shared" si="3"/>
        <v>-17375.413855174673</v>
      </c>
      <c r="O38" s="5">
        <f t="shared" si="9"/>
        <v>1.7166095854313304</v>
      </c>
      <c r="P38" s="32">
        <f t="shared" si="10"/>
        <v>0.2717796962840468</v>
      </c>
    </row>
    <row r="39" spans="3:16" s="1" customFormat="1" ht="12.75">
      <c r="C39" s="33">
        <f t="shared" si="4"/>
        <v>0.18</v>
      </c>
      <c r="D39" s="4">
        <f t="shared" si="11"/>
        <v>15.305594399633671</v>
      </c>
      <c r="E39" s="4">
        <f t="shared" si="12"/>
        <v>1.2307594483161124</v>
      </c>
      <c r="F39" s="4">
        <f t="shared" si="5"/>
        <v>461920.32156176463</v>
      </c>
      <c r="G39" s="44">
        <f t="shared" si="6"/>
        <v>0.2926423416046269</v>
      </c>
      <c r="H39" s="26">
        <f t="shared" si="0"/>
        <v>26.855923799480987</v>
      </c>
      <c r="I39" s="4">
        <f t="shared" si="1"/>
        <v>39.96949356142296</v>
      </c>
      <c r="J39" s="5">
        <f t="shared" si="7"/>
        <v>87.3378398975897</v>
      </c>
      <c r="K39" s="29">
        <f t="shared" si="8"/>
        <v>0.0012073576583953732</v>
      </c>
      <c r="L39" s="33">
        <f t="shared" si="2"/>
        <v>-0.029765867567881174</v>
      </c>
      <c r="M39" s="5">
        <f t="shared" si="13"/>
        <v>2.9765867567881177E-05</v>
      </c>
      <c r="N39" s="4">
        <f t="shared" si="3"/>
        <v>-15943.281290410514</v>
      </c>
      <c r="O39" s="5">
        <f t="shared" si="9"/>
        <v>1.7467567979517942</v>
      </c>
      <c r="P39" s="32">
        <f t="shared" si="10"/>
        <v>0.3061118879926734</v>
      </c>
    </row>
    <row r="40" spans="3:16" s="1" customFormat="1" ht="12.75">
      <c r="C40" s="33">
        <f t="shared" si="4"/>
        <v>0.19999999999999998</v>
      </c>
      <c r="D40" s="4">
        <f t="shared" si="11"/>
        <v>17.052351197585466</v>
      </c>
      <c r="E40" s="4">
        <f t="shared" si="12"/>
        <v>1.5368713363087858</v>
      </c>
      <c r="F40" s="4">
        <f t="shared" si="5"/>
        <v>445977.04027135414</v>
      </c>
      <c r="G40" s="44">
        <f t="shared" si="6"/>
        <v>0.2628764740367457</v>
      </c>
      <c r="H40" s="26">
        <f t="shared" si="0"/>
        <v>26.25555332768114</v>
      </c>
      <c r="I40" s="4">
        <f t="shared" si="1"/>
        <v>38.202413780324505</v>
      </c>
      <c r="J40" s="5">
        <f t="shared" si="7"/>
        <v>89.28374448800312</v>
      </c>
      <c r="K40" s="29">
        <f t="shared" si="8"/>
        <v>0.0012371235259632544</v>
      </c>
      <c r="L40" s="33">
        <f t="shared" si="2"/>
        <v>-0.02910044462102258</v>
      </c>
      <c r="M40" s="5">
        <f t="shared" si="13"/>
        <v>2.9100444621022582E-05</v>
      </c>
      <c r="N40" s="4">
        <f t="shared" si="3"/>
        <v>-14686.797111535498</v>
      </c>
      <c r="O40" s="5">
        <f t="shared" si="9"/>
        <v>1.7856748897600625</v>
      </c>
      <c r="P40" s="32">
        <f t="shared" si="10"/>
        <v>0.3410470239517093</v>
      </c>
    </row>
    <row r="41" spans="3:16" ht="12.75">
      <c r="C41" s="33">
        <f t="shared" si="4"/>
        <v>0.21999999999999997</v>
      </c>
      <c r="D41" s="4">
        <f t="shared" si="11"/>
        <v>18.83802608734553</v>
      </c>
      <c r="E41" s="4">
        <f t="shared" si="12"/>
        <v>1.8779183602604952</v>
      </c>
      <c r="F41" s="4">
        <f t="shared" si="5"/>
        <v>431290.24315981864</v>
      </c>
      <c r="G41" s="44">
        <f t="shared" si="6"/>
        <v>0.23377602941572312</v>
      </c>
      <c r="H41" s="26">
        <f t="shared" si="0"/>
        <v>25.690085370034044</v>
      </c>
      <c r="I41" s="4">
        <f t="shared" si="1"/>
        <v>36.57459691175432</v>
      </c>
      <c r="J41" s="5">
        <f t="shared" si="7"/>
        <v>91.71713998291855</v>
      </c>
      <c r="K41" s="29">
        <f t="shared" si="8"/>
        <v>0.001266223970584277</v>
      </c>
      <c r="L41" s="33">
        <f t="shared" si="2"/>
        <v>-0.028473706011437713</v>
      </c>
      <c r="M41" s="5">
        <f t="shared" si="13"/>
        <v>2.8473706011437718E-05</v>
      </c>
      <c r="N41" s="4">
        <f t="shared" si="3"/>
        <v>-13577.854016722333</v>
      </c>
      <c r="O41" s="5">
        <f t="shared" si="9"/>
        <v>1.834342799658371</v>
      </c>
      <c r="P41" s="32">
        <f t="shared" si="10"/>
        <v>0.3767605217469106</v>
      </c>
    </row>
    <row r="42" spans="3:16" ht="12.75">
      <c r="C42" s="33">
        <f t="shared" si="4"/>
        <v>0.23999999999999996</v>
      </c>
      <c r="D42" s="4">
        <f t="shared" si="11"/>
        <v>20.6723688870039</v>
      </c>
      <c r="E42" s="4">
        <f t="shared" si="12"/>
        <v>2.254678882007406</v>
      </c>
      <c r="F42" s="4">
        <f t="shared" si="5"/>
        <v>417712.3891430963</v>
      </c>
      <c r="G42" s="44">
        <f t="shared" si="6"/>
        <v>0.2053023234042854</v>
      </c>
      <c r="H42" s="26">
        <f t="shared" si="0"/>
        <v>25.156008790867293</v>
      </c>
      <c r="I42" s="4">
        <f t="shared" si="1"/>
        <v>35.06969018229156</v>
      </c>
      <c r="J42" s="5">
        <f t="shared" si="7"/>
        <v>94.70556344309912</v>
      </c>
      <c r="K42" s="29">
        <f t="shared" si="8"/>
        <v>0.0012946976765957146</v>
      </c>
      <c r="L42" s="33">
        <f t="shared" si="2"/>
        <v>-0.027881760158251622</v>
      </c>
      <c r="M42" s="5">
        <f t="shared" si="13"/>
        <v>2.788176015825162E-05</v>
      </c>
      <c r="N42" s="4">
        <f t="shared" si="3"/>
        <v>-12593.812133638981</v>
      </c>
      <c r="O42" s="5">
        <f t="shared" si="9"/>
        <v>1.8941112688619826</v>
      </c>
      <c r="P42" s="32">
        <f t="shared" si="10"/>
        <v>0.413447377740078</v>
      </c>
    </row>
    <row r="43" spans="3:16" ht="12.75">
      <c r="C43" s="33">
        <f t="shared" si="4"/>
        <v>0.25999999999999995</v>
      </c>
      <c r="D43" s="4">
        <f t="shared" si="11"/>
        <v>22.566480155865882</v>
      </c>
      <c r="E43" s="4">
        <f t="shared" si="12"/>
        <v>2.668126259747484</v>
      </c>
      <c r="F43" s="4">
        <f t="shared" si="5"/>
        <v>405118.5770094573</v>
      </c>
      <c r="G43" s="44">
        <f t="shared" si="6"/>
        <v>0.17742056324603378</v>
      </c>
      <c r="H43" s="26">
        <f t="shared" si="0"/>
        <v>24.65029723997085</v>
      </c>
      <c r="I43" s="4">
        <f t="shared" si="1"/>
        <v>33.67385011756841</v>
      </c>
      <c r="J43" s="5">
        <f t="shared" si="7"/>
        <v>98.34061891129272</v>
      </c>
      <c r="K43" s="29">
        <f t="shared" si="8"/>
        <v>0.0013225794367539663</v>
      </c>
      <c r="L43" s="33">
        <f t="shared" si="2"/>
        <v>-0.027321252794441545</v>
      </c>
      <c r="M43" s="5">
        <f t="shared" si="13"/>
        <v>2.7321252794441547E-05</v>
      </c>
      <c r="N43" s="4">
        <f t="shared" si="3"/>
        <v>-11716.261001237946</v>
      </c>
      <c r="O43" s="5">
        <f t="shared" si="9"/>
        <v>1.9668123782258544</v>
      </c>
      <c r="P43" s="32">
        <f t="shared" si="10"/>
        <v>0.4513296031173177</v>
      </c>
    </row>
    <row r="44" spans="3:25" ht="12.75">
      <c r="C44" s="33">
        <f aca="true" t="shared" si="14" ref="C44:C58">C43+$D$15</f>
        <v>0.27999999999999997</v>
      </c>
      <c r="D44" s="4">
        <f aca="true" t="shared" si="15" ref="D44:D58">D43+O43</f>
        <v>24.533292534091736</v>
      </c>
      <c r="E44" s="4">
        <f aca="true" t="shared" si="16" ref="E44:E58">E43+P43</f>
        <v>3.1194558628648017</v>
      </c>
      <c r="F44" s="4">
        <f aca="true" t="shared" si="17" ref="F44:F58">IF((F43+N43)&lt;=$D$9,$D$9,F43+N43)</f>
        <v>393402.3160082193</v>
      </c>
      <c r="G44" s="44">
        <f aca="true" t="shared" si="18" ref="G44:G58">IF(G43+L43&lt;=0,0,G43+L43)</f>
        <v>0.15009931045159225</v>
      </c>
      <c r="H44" s="26">
        <f aca="true" t="shared" si="19" ref="H44:H58">IF(G44&lt;=0,0,SQRT(2*(F44-$D$9)/$D$10))</f>
        <v>24.1703254429153</v>
      </c>
      <c r="I44" s="4">
        <f aca="true" t="shared" si="20" ref="I44:I58">IF(G44&lt;=0,0,$D$10*$D$12*H44^2)</f>
        <v>32.37527377382589</v>
      </c>
      <c r="J44" s="5">
        <f aca="true" t="shared" si="21" ref="J44:J58">I44/($D$13+G44)</f>
        <v>102.74625395855827</v>
      </c>
      <c r="K44" s="29">
        <f aca="true" t="shared" si="22" ref="K44:K58">$D$14-G44/$D$10</f>
        <v>0.0013499006895484078</v>
      </c>
      <c r="L44" s="33">
        <f aca="true" t="shared" si="23" ref="L44:L58">-$D$10*$D$12*H44*$D$15</f>
        <v>-0.026789274186885714</v>
      </c>
      <c r="M44" s="5">
        <f aca="true" t="shared" si="24" ref="M44:M58">$D$12*H44*$D$15</f>
        <v>2.6789274186885714E-05</v>
      </c>
      <c r="N44" s="4">
        <f aca="true" t="shared" si="25" ref="N44:N58">-$D$11*F44*M44/K44</f>
        <v>-10930.098508176934</v>
      </c>
      <c r="O44" s="5">
        <f aca="true" t="shared" si="26" ref="O44:O58">J44*$D$15</f>
        <v>2.0549250791711655</v>
      </c>
      <c r="P44" s="32">
        <f aca="true" t="shared" si="27" ref="P44:P58">D44*$D$15</f>
        <v>0.4906658506818347</v>
      </c>
      <c r="Q44" s="6"/>
      <c r="R44" s="6"/>
      <c r="S44" s="6"/>
      <c r="T44" s="6"/>
      <c r="U44" s="6"/>
      <c r="V44" s="6"/>
      <c r="W44" s="6"/>
      <c r="X44" s="6"/>
      <c r="Y44" s="6"/>
    </row>
    <row r="45" spans="3:16" ht="12.75">
      <c r="C45" s="33">
        <f t="shared" si="14"/>
        <v>0.3</v>
      </c>
      <c r="D45" s="4">
        <f t="shared" si="15"/>
        <v>26.588217613262902</v>
      </c>
      <c r="E45" s="4">
        <f t="shared" si="16"/>
        <v>3.6101217135466364</v>
      </c>
      <c r="F45" s="4">
        <f t="shared" si="17"/>
        <v>382472.2175000424</v>
      </c>
      <c r="G45" s="44">
        <f t="shared" si="18"/>
        <v>0.12331003626470653</v>
      </c>
      <c r="H45" s="26">
        <f t="shared" si="19"/>
        <v>23.713802626320494</v>
      </c>
      <c r="I45" s="4">
        <f t="shared" si="20"/>
        <v>31.163832055687795</v>
      </c>
      <c r="J45" s="5">
        <f t="shared" si="21"/>
        <v>108.09138821333052</v>
      </c>
      <c r="K45" s="29">
        <f t="shared" si="22"/>
        <v>0.0013766899637352936</v>
      </c>
      <c r="L45" s="33">
        <f t="shared" si="23"/>
        <v>-0.026283285348000947</v>
      </c>
      <c r="M45" s="5">
        <f t="shared" si="24"/>
        <v>2.628328534800095E-05</v>
      </c>
      <c r="N45" s="4">
        <f t="shared" si="25"/>
        <v>-10222.836929925399</v>
      </c>
      <c r="O45" s="5">
        <f t="shared" si="26"/>
        <v>2.1618277642666106</v>
      </c>
      <c r="P45" s="32">
        <f t="shared" si="27"/>
        <v>0.5317643522652581</v>
      </c>
    </row>
    <row r="46" spans="3:16" ht="12.75">
      <c r="C46" s="33">
        <f t="shared" si="14"/>
        <v>0.32</v>
      </c>
      <c r="D46" s="4">
        <f t="shared" si="15"/>
        <v>28.750045377529514</v>
      </c>
      <c r="E46" s="4">
        <f t="shared" si="16"/>
        <v>4.141886065811894</v>
      </c>
      <c r="F46" s="4">
        <f t="shared" si="17"/>
        <v>372249.380570117</v>
      </c>
      <c r="G46" s="44">
        <f t="shared" si="18"/>
        <v>0.09702675091670558</v>
      </c>
      <c r="H46" s="26">
        <f t="shared" si="19"/>
        <v>23.27871906141388</v>
      </c>
      <c r="I46" s="4">
        <f t="shared" si="20"/>
        <v>30.030779949581934</v>
      </c>
      <c r="J46" s="5">
        <f t="shared" si="21"/>
        <v>114.60959556426464</v>
      </c>
      <c r="K46" s="29">
        <f t="shared" si="22"/>
        <v>0.0014029732490832944</v>
      </c>
      <c r="L46" s="33">
        <f t="shared" si="23"/>
        <v>-0.025801058787087702</v>
      </c>
      <c r="M46" s="5">
        <f t="shared" si="24"/>
        <v>2.5801058787087705E-05</v>
      </c>
      <c r="N46" s="4">
        <f t="shared" si="25"/>
        <v>-9584.0739807056</v>
      </c>
      <c r="O46" s="5">
        <f t="shared" si="26"/>
        <v>2.292191911285293</v>
      </c>
      <c r="P46" s="32">
        <f t="shared" si="27"/>
        <v>0.5750009075505903</v>
      </c>
    </row>
    <row r="47" spans="3:16" ht="12.75">
      <c r="C47" s="33">
        <f t="shared" si="14"/>
        <v>0.34</v>
      </c>
      <c r="D47" s="4">
        <f t="shared" si="15"/>
        <v>31.042237288814807</v>
      </c>
      <c r="E47" s="4">
        <f t="shared" si="16"/>
        <v>4.7168869733624845</v>
      </c>
      <c r="F47" s="4">
        <f t="shared" si="17"/>
        <v>362665.3065894114</v>
      </c>
      <c r="G47" s="44">
        <f t="shared" si="18"/>
        <v>0.07122569212961788</v>
      </c>
      <c r="H47" s="26">
        <f t="shared" si="19"/>
        <v>22.863302761823864</v>
      </c>
      <c r="I47" s="4">
        <f t="shared" si="20"/>
        <v>28.968525383325037</v>
      </c>
      <c r="J47" s="5">
        <f t="shared" si="21"/>
        <v>122.63071439083731</v>
      </c>
      <c r="K47" s="29">
        <f t="shared" si="22"/>
        <v>0.0014287743078703822</v>
      </c>
      <c r="L47" s="33">
        <f t="shared" si="23"/>
        <v>-0.025340630516160947</v>
      </c>
      <c r="M47" s="5">
        <f t="shared" si="24"/>
        <v>2.534063051616095E-05</v>
      </c>
      <c r="N47" s="4">
        <f t="shared" si="25"/>
        <v>-9005.085322828136</v>
      </c>
      <c r="O47" s="5">
        <f t="shared" si="26"/>
        <v>2.4526142878167465</v>
      </c>
      <c r="P47" s="32">
        <f t="shared" si="27"/>
        <v>0.6208447457762961</v>
      </c>
    </row>
    <row r="48" spans="3:16" ht="12.75">
      <c r="C48" s="33">
        <f t="shared" si="14"/>
        <v>0.36000000000000004</v>
      </c>
      <c r="D48" s="4">
        <f t="shared" si="15"/>
        <v>33.494851576631554</v>
      </c>
      <c r="E48" s="4">
        <f t="shared" si="16"/>
        <v>5.33773171913878</v>
      </c>
      <c r="F48" s="4">
        <f t="shared" si="17"/>
        <v>353660.22126658325</v>
      </c>
      <c r="G48" s="44">
        <f t="shared" si="18"/>
        <v>0.04588506161345693</v>
      </c>
      <c r="H48" s="26">
        <f t="shared" si="19"/>
        <v>22.465984121181215</v>
      </c>
      <c r="I48" s="4">
        <f t="shared" si="20"/>
        <v>27.970443250093957</v>
      </c>
      <c r="J48" s="5">
        <f t="shared" si="21"/>
        <v>132.63359213827366</v>
      </c>
      <c r="K48" s="29">
        <f t="shared" si="22"/>
        <v>0.001454114938386543</v>
      </c>
      <c r="L48" s="33">
        <f t="shared" si="23"/>
        <v>-0.024900260855898203</v>
      </c>
      <c r="M48" s="5">
        <f t="shared" si="24"/>
        <v>2.49002608558982E-05</v>
      </c>
      <c r="N48" s="4">
        <f t="shared" si="25"/>
        <v>-8478.507540215043</v>
      </c>
      <c r="O48" s="5">
        <f t="shared" si="26"/>
        <v>2.652671842765473</v>
      </c>
      <c r="P48" s="32">
        <f t="shared" si="27"/>
        <v>0.6698970315326311</v>
      </c>
    </row>
    <row r="49" spans="3:16" ht="12.75">
      <c r="C49" s="33">
        <f t="shared" si="14"/>
        <v>0.38000000000000006</v>
      </c>
      <c r="D49" s="4">
        <f t="shared" si="15"/>
        <v>36.147523419397025</v>
      </c>
      <c r="E49" s="4">
        <f t="shared" si="16"/>
        <v>6.007628750671412</v>
      </c>
      <c r="F49" s="4">
        <f t="shared" si="17"/>
        <v>345181.7137263682</v>
      </c>
      <c r="G49" s="44">
        <f t="shared" si="18"/>
        <v>0.020984800757558725</v>
      </c>
      <c r="H49" s="26">
        <f t="shared" si="19"/>
        <v>22.08536681725564</v>
      </c>
      <c r="I49" s="4">
        <f t="shared" si="20"/>
        <v>27.03072457014969</v>
      </c>
      <c r="J49" s="5">
        <f t="shared" si="21"/>
        <v>145.33835270434653</v>
      </c>
      <c r="K49" s="29">
        <f t="shared" si="22"/>
        <v>0.0014790151992424413</v>
      </c>
      <c r="L49" s="33">
        <f t="shared" si="23"/>
        <v>-0.024478402187126155</v>
      </c>
      <c r="M49" s="5">
        <f t="shared" si="24"/>
        <v>2.4478402187126154E-05</v>
      </c>
      <c r="N49" s="4">
        <f t="shared" si="25"/>
        <v>-7998.089234504623</v>
      </c>
      <c r="O49" s="5">
        <f t="shared" si="26"/>
        <v>2.906767054086931</v>
      </c>
      <c r="P49" s="32">
        <f t="shared" si="27"/>
        <v>0.7229504683879405</v>
      </c>
    </row>
    <row r="50" spans="3:16" ht="12.75">
      <c r="C50" s="33">
        <f t="shared" si="14"/>
        <v>0.4000000000000001</v>
      </c>
      <c r="D50" s="4">
        <f t="shared" si="15"/>
        <v>39.05429047348396</v>
      </c>
      <c r="E50" s="4">
        <f t="shared" si="16"/>
        <v>6.7305792190593525</v>
      </c>
      <c r="F50" s="4">
        <f t="shared" si="17"/>
        <v>337183.6244918636</v>
      </c>
      <c r="G50" s="44">
        <f t="shared" si="18"/>
        <v>0</v>
      </c>
      <c r="H50" s="26">
        <f t="shared" si="19"/>
        <v>0</v>
      </c>
      <c r="I50" s="4">
        <f t="shared" si="20"/>
        <v>0</v>
      </c>
      <c r="J50" s="5">
        <f t="shared" si="21"/>
        <v>0</v>
      </c>
      <c r="K50" s="29">
        <f t="shared" si="22"/>
        <v>0.0015</v>
      </c>
      <c r="L50" s="33">
        <f t="shared" si="23"/>
        <v>0</v>
      </c>
      <c r="M50" s="5">
        <f t="shared" si="24"/>
        <v>0</v>
      </c>
      <c r="N50" s="4">
        <f t="shared" si="25"/>
        <v>0</v>
      </c>
      <c r="O50" s="5">
        <f t="shared" si="26"/>
        <v>0</v>
      </c>
      <c r="P50" s="32">
        <f t="shared" si="27"/>
        <v>0.7810858094696792</v>
      </c>
    </row>
    <row r="51" spans="3:16" ht="12.75">
      <c r="C51" s="33">
        <f t="shared" si="14"/>
        <v>0.4200000000000001</v>
      </c>
      <c r="D51" s="4">
        <f t="shared" si="15"/>
        <v>39.05429047348396</v>
      </c>
      <c r="E51" s="4">
        <f t="shared" si="16"/>
        <v>7.511665028529031</v>
      </c>
      <c r="F51" s="4">
        <f t="shared" si="17"/>
        <v>337183.6244918636</v>
      </c>
      <c r="G51" s="44">
        <f t="shared" si="18"/>
        <v>0</v>
      </c>
      <c r="H51" s="26">
        <f t="shared" si="19"/>
        <v>0</v>
      </c>
      <c r="I51" s="4">
        <f t="shared" si="20"/>
        <v>0</v>
      </c>
      <c r="J51" s="5">
        <f t="shared" si="21"/>
        <v>0</v>
      </c>
      <c r="K51" s="29">
        <f t="shared" si="22"/>
        <v>0.0015</v>
      </c>
      <c r="L51" s="33">
        <f t="shared" si="23"/>
        <v>0</v>
      </c>
      <c r="M51" s="5">
        <f t="shared" si="24"/>
        <v>0</v>
      </c>
      <c r="N51" s="4">
        <f t="shared" si="25"/>
        <v>0</v>
      </c>
      <c r="O51" s="5">
        <f t="shared" si="26"/>
        <v>0</v>
      </c>
      <c r="P51" s="32">
        <f t="shared" si="27"/>
        <v>0.7810858094696792</v>
      </c>
    </row>
    <row r="52" spans="3:16" ht="12.75">
      <c r="C52" s="33">
        <f t="shared" si="14"/>
        <v>0.4400000000000001</v>
      </c>
      <c r="D52" s="4">
        <f t="shared" si="15"/>
        <v>39.05429047348396</v>
      </c>
      <c r="E52" s="4">
        <f t="shared" si="16"/>
        <v>8.29275083799871</v>
      </c>
      <c r="F52" s="4">
        <f t="shared" si="17"/>
        <v>337183.6244918636</v>
      </c>
      <c r="G52" s="44">
        <f t="shared" si="18"/>
        <v>0</v>
      </c>
      <c r="H52" s="26">
        <f t="shared" si="19"/>
        <v>0</v>
      </c>
      <c r="I52" s="4">
        <f t="shared" si="20"/>
        <v>0</v>
      </c>
      <c r="J52" s="5">
        <f t="shared" si="21"/>
        <v>0</v>
      </c>
      <c r="K52" s="29">
        <f t="shared" si="22"/>
        <v>0.0015</v>
      </c>
      <c r="L52" s="33">
        <f t="shared" si="23"/>
        <v>0</v>
      </c>
      <c r="M52" s="5">
        <f t="shared" si="24"/>
        <v>0</v>
      </c>
      <c r="N52" s="4">
        <f t="shared" si="25"/>
        <v>0</v>
      </c>
      <c r="O52" s="5">
        <f t="shared" si="26"/>
        <v>0</v>
      </c>
      <c r="P52" s="32">
        <f t="shared" si="27"/>
        <v>0.7810858094696792</v>
      </c>
    </row>
    <row r="53" spans="3:16" ht="12.75">
      <c r="C53" s="33">
        <f t="shared" si="14"/>
        <v>0.46000000000000013</v>
      </c>
      <c r="D53" s="4">
        <f t="shared" si="15"/>
        <v>39.05429047348396</v>
      </c>
      <c r="E53" s="4">
        <f t="shared" si="16"/>
        <v>9.07383664746839</v>
      </c>
      <c r="F53" s="4">
        <f t="shared" si="17"/>
        <v>337183.6244918636</v>
      </c>
      <c r="G53" s="44">
        <f t="shared" si="18"/>
        <v>0</v>
      </c>
      <c r="H53" s="26">
        <f t="shared" si="19"/>
        <v>0</v>
      </c>
      <c r="I53" s="4">
        <f t="shared" si="20"/>
        <v>0</v>
      </c>
      <c r="J53" s="5">
        <f t="shared" si="21"/>
        <v>0</v>
      </c>
      <c r="K53" s="29">
        <f t="shared" si="22"/>
        <v>0.0015</v>
      </c>
      <c r="L53" s="33">
        <f t="shared" si="23"/>
        <v>0</v>
      </c>
      <c r="M53" s="5">
        <f t="shared" si="24"/>
        <v>0</v>
      </c>
      <c r="N53" s="4">
        <f t="shared" si="25"/>
        <v>0</v>
      </c>
      <c r="O53" s="5">
        <f t="shared" si="26"/>
        <v>0</v>
      </c>
      <c r="P53" s="32">
        <f t="shared" si="27"/>
        <v>0.7810858094696792</v>
      </c>
    </row>
    <row r="54" spans="3:16" ht="12.75">
      <c r="C54" s="33">
        <f t="shared" si="14"/>
        <v>0.48000000000000015</v>
      </c>
      <c r="D54" s="4">
        <f t="shared" si="15"/>
        <v>39.05429047348396</v>
      </c>
      <c r="E54" s="4">
        <f t="shared" si="16"/>
        <v>9.85492245693807</v>
      </c>
      <c r="F54" s="4">
        <f t="shared" si="17"/>
        <v>337183.6244918636</v>
      </c>
      <c r="G54" s="44">
        <f t="shared" si="18"/>
        <v>0</v>
      </c>
      <c r="H54" s="26">
        <f t="shared" si="19"/>
        <v>0</v>
      </c>
      <c r="I54" s="4">
        <f t="shared" si="20"/>
        <v>0</v>
      </c>
      <c r="J54" s="5">
        <f t="shared" si="21"/>
        <v>0</v>
      </c>
      <c r="K54" s="29">
        <f t="shared" si="22"/>
        <v>0.0015</v>
      </c>
      <c r="L54" s="33">
        <f t="shared" si="23"/>
        <v>0</v>
      </c>
      <c r="M54" s="5">
        <f t="shared" si="24"/>
        <v>0</v>
      </c>
      <c r="N54" s="4">
        <f t="shared" si="25"/>
        <v>0</v>
      </c>
      <c r="O54" s="5">
        <f t="shared" si="26"/>
        <v>0</v>
      </c>
      <c r="P54" s="32">
        <f t="shared" si="27"/>
        <v>0.7810858094696792</v>
      </c>
    </row>
    <row r="55" spans="3:16" ht="12.75">
      <c r="C55" s="33">
        <f t="shared" si="14"/>
        <v>0.5000000000000001</v>
      </c>
      <c r="D55" s="4">
        <f t="shared" si="15"/>
        <v>39.05429047348396</v>
      </c>
      <c r="E55" s="4">
        <f t="shared" si="16"/>
        <v>10.63600826640775</v>
      </c>
      <c r="F55" s="4">
        <f t="shared" si="17"/>
        <v>337183.6244918636</v>
      </c>
      <c r="G55" s="44">
        <f t="shared" si="18"/>
        <v>0</v>
      </c>
      <c r="H55" s="26">
        <f t="shared" si="19"/>
        <v>0</v>
      </c>
      <c r="I55" s="4">
        <f t="shared" si="20"/>
        <v>0</v>
      </c>
      <c r="J55" s="5">
        <f t="shared" si="21"/>
        <v>0</v>
      </c>
      <c r="K55" s="29">
        <f t="shared" si="22"/>
        <v>0.0015</v>
      </c>
      <c r="L55" s="33">
        <f t="shared" si="23"/>
        <v>0</v>
      </c>
      <c r="M55" s="5">
        <f t="shared" si="24"/>
        <v>0</v>
      </c>
      <c r="N55" s="4">
        <f t="shared" si="25"/>
        <v>0</v>
      </c>
      <c r="O55" s="5">
        <f t="shared" si="26"/>
        <v>0</v>
      </c>
      <c r="P55" s="32">
        <f t="shared" si="27"/>
        <v>0.7810858094696792</v>
      </c>
    </row>
    <row r="56" spans="3:16" ht="12.75">
      <c r="C56" s="33">
        <f t="shared" si="14"/>
        <v>0.5200000000000001</v>
      </c>
      <c r="D56" s="4">
        <f t="shared" si="15"/>
        <v>39.05429047348396</v>
      </c>
      <c r="E56" s="4">
        <f t="shared" si="16"/>
        <v>11.41709407587743</v>
      </c>
      <c r="F56" s="4">
        <f t="shared" si="17"/>
        <v>337183.6244918636</v>
      </c>
      <c r="G56" s="44">
        <f t="shared" si="18"/>
        <v>0</v>
      </c>
      <c r="H56" s="26">
        <f t="shared" si="19"/>
        <v>0</v>
      </c>
      <c r="I56" s="4">
        <f t="shared" si="20"/>
        <v>0</v>
      </c>
      <c r="J56" s="5">
        <f t="shared" si="21"/>
        <v>0</v>
      </c>
      <c r="K56" s="29">
        <f t="shared" si="22"/>
        <v>0.0015</v>
      </c>
      <c r="L56" s="33">
        <f t="shared" si="23"/>
        <v>0</v>
      </c>
      <c r="M56" s="5">
        <f t="shared" si="24"/>
        <v>0</v>
      </c>
      <c r="N56" s="4">
        <f t="shared" si="25"/>
        <v>0</v>
      </c>
      <c r="O56" s="5">
        <f t="shared" si="26"/>
        <v>0</v>
      </c>
      <c r="P56" s="32">
        <f t="shared" si="27"/>
        <v>0.7810858094696792</v>
      </c>
    </row>
    <row r="57" spans="3:16" ht="12.75">
      <c r="C57" s="33">
        <f t="shared" si="14"/>
        <v>0.5400000000000001</v>
      </c>
      <c r="D57" s="4">
        <f t="shared" si="15"/>
        <v>39.05429047348396</v>
      </c>
      <c r="E57" s="4">
        <f t="shared" si="16"/>
        <v>12.198179885347109</v>
      </c>
      <c r="F57" s="4">
        <f t="shared" si="17"/>
        <v>337183.6244918636</v>
      </c>
      <c r="G57" s="44">
        <f t="shared" si="18"/>
        <v>0</v>
      </c>
      <c r="H57" s="26">
        <f t="shared" si="19"/>
        <v>0</v>
      </c>
      <c r="I57" s="4">
        <f t="shared" si="20"/>
        <v>0</v>
      </c>
      <c r="J57" s="5">
        <f t="shared" si="21"/>
        <v>0</v>
      </c>
      <c r="K57" s="29">
        <f t="shared" si="22"/>
        <v>0.0015</v>
      </c>
      <c r="L57" s="33">
        <f t="shared" si="23"/>
        <v>0</v>
      </c>
      <c r="M57" s="5">
        <f t="shared" si="24"/>
        <v>0</v>
      </c>
      <c r="N57" s="4">
        <f t="shared" si="25"/>
        <v>0</v>
      </c>
      <c r="O57" s="5">
        <f t="shared" si="26"/>
        <v>0</v>
      </c>
      <c r="P57" s="32">
        <f t="shared" si="27"/>
        <v>0.7810858094696792</v>
      </c>
    </row>
    <row r="58" spans="3:16" ht="12.75" thickBot="1">
      <c r="C58" s="34">
        <f t="shared" si="14"/>
        <v>0.5600000000000002</v>
      </c>
      <c r="D58" s="36">
        <f t="shared" si="15"/>
        <v>39.05429047348396</v>
      </c>
      <c r="E58" s="36">
        <f t="shared" si="16"/>
        <v>12.979265694816789</v>
      </c>
      <c r="F58" s="36">
        <f t="shared" si="17"/>
        <v>337183.6244918636</v>
      </c>
      <c r="G58" s="45">
        <f t="shared" si="18"/>
        <v>0</v>
      </c>
      <c r="H58" s="26">
        <f t="shared" si="19"/>
        <v>0</v>
      </c>
      <c r="I58" s="4">
        <f t="shared" si="20"/>
        <v>0</v>
      </c>
      <c r="J58" s="5">
        <f t="shared" si="21"/>
        <v>0</v>
      </c>
      <c r="K58" s="29">
        <f t="shared" si="22"/>
        <v>0.0015</v>
      </c>
      <c r="L58" s="34">
        <f t="shared" si="23"/>
        <v>0</v>
      </c>
      <c r="M58" s="35">
        <f t="shared" si="24"/>
        <v>0</v>
      </c>
      <c r="N58" s="36">
        <f t="shared" si="25"/>
        <v>0</v>
      </c>
      <c r="O58" s="35">
        <f t="shared" si="26"/>
        <v>0</v>
      </c>
      <c r="P58" s="37">
        <f t="shared" si="27"/>
        <v>0.7810858094696792</v>
      </c>
    </row>
  </sheetData>
  <sheetProtection/>
  <mergeCells count="11">
    <mergeCell ref="C4:L4"/>
    <mergeCell ref="F12:P12"/>
    <mergeCell ref="F13:P13"/>
    <mergeCell ref="F19:P19"/>
    <mergeCell ref="F20:P20"/>
    <mergeCell ref="F15:P15"/>
    <mergeCell ref="F8:P8"/>
    <mergeCell ref="F9:P9"/>
    <mergeCell ref="F10:P10"/>
    <mergeCell ref="F11:P11"/>
    <mergeCell ref="L25:P25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cp:lastPrinted>2020-07-28T15:03:47Z</cp:lastPrinted>
  <dcterms:created xsi:type="dcterms:W3CDTF">2004-06-21T14:00:50Z</dcterms:created>
  <dcterms:modified xsi:type="dcterms:W3CDTF">2020-07-29T09:03:15Z</dcterms:modified>
  <cp:category/>
  <cp:version/>
  <cp:contentType/>
  <cp:contentStatus/>
</cp:coreProperties>
</file>