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63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<sst xmlns="http://schemas.openxmlformats.org/spreadsheetml/2006/main" count="106" uniqueCount="93">
  <si>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値</t>
  </si>
  <si>
    <t>説明</t>
  </si>
  <si>
    <t>時刻</t>
  </si>
  <si>
    <t>秒</t>
  </si>
  <si>
    <t>N/m^2</t>
  </si>
  <si>
    <t>記号</t>
  </si>
  <si>
    <t>物理量</t>
  </si>
  <si>
    <t>単位</t>
  </si>
  <si>
    <t>kg</t>
  </si>
  <si>
    <t>ボトル内の圧力の変化</t>
  </si>
  <si>
    <t>計算式</t>
  </si>
  <si>
    <t xml:space="preserve">    dt  '------------------------------数値計算の時間ステップ[s]</t>
  </si>
  <si>
    <t xml:space="preserve">    P_atm = 1.013 * 10 ^ 5 '----------------------大気圧[N/m^2]</t>
  </si>
  <si>
    <t xml:space="preserve">    Dw = 9.991 * 10 ^ 2 '------------------------１５℃、１気圧での水の密度[kg/m^3]</t>
  </si>
  <si>
    <t xml:space="preserve">    Dair_atm = 1.226  '----------------------------１５℃、１気圧での空気の密度[kg/m^3]</t>
  </si>
  <si>
    <t>　　K_choke=(2/(k+1))^(k/(k-1))'----------臨界圧力計算のための係数</t>
  </si>
  <si>
    <t>諸定数</t>
  </si>
  <si>
    <t xml:space="preserve">    π= 3.141592654'---------円周率π</t>
  </si>
  <si>
    <t>ロケットの諸量</t>
  </si>
  <si>
    <t xml:space="preserve">    Temp_start=273+15 '--------------------発射時のタンク内の空気の温度[K]（今、１５℃に設定）</t>
  </si>
  <si>
    <t>　　Dair_start=P_start/(R*Temp_start) '---------発射時のタンク内の空気の密度[kg/m^3]（状態方程式より計算）</t>
  </si>
  <si>
    <t>初期条件</t>
  </si>
  <si>
    <t>臨界圧力</t>
  </si>
  <si>
    <t>噴出口の圧力</t>
  </si>
  <si>
    <t>p_choke&gt;p_atmならp_chokeに等しい。でなければp_atmに等しい</t>
  </si>
  <si>
    <t>噴出口での空気の密度</t>
  </si>
  <si>
    <t>噴出空気の流速</t>
  </si>
  <si>
    <t>空気の噴出による推力</t>
  </si>
  <si>
    <t>圧力推力（p_exit&gt;p_atmの場合に発生）</t>
  </si>
  <si>
    <t>ボトル内の空気の圧力</t>
  </si>
  <si>
    <t>ボトル内の空気の密度</t>
  </si>
  <si>
    <t xml:space="preserve">    Pet_Vol=1.5*10^(-3)'-----------------圧力タンク（ペットボトル）の体積[m^3]</t>
  </si>
  <si>
    <t>kg/m^3</t>
  </si>
  <si>
    <t>kg/m^3</t>
  </si>
  <si>
    <t>J/kg･K</t>
  </si>
  <si>
    <t>m^2</t>
  </si>
  <si>
    <t>m^3</t>
  </si>
  <si>
    <t>K</t>
  </si>
  <si>
    <t>s</t>
  </si>
  <si>
    <t xml:space="preserve">    k=1.4                '-------------------空気の比熱比</t>
  </si>
  <si>
    <t>　　R=287.03 ------------------------空気の気体定数[J/kg･K]　(8.31J/mol･K じゃないからね！）</t>
  </si>
  <si>
    <t xml:space="preserve">pai </t>
  </si>
  <si>
    <t>P_atm</t>
  </si>
  <si>
    <t>Dw</t>
  </si>
  <si>
    <t>Dair_atm</t>
  </si>
  <si>
    <t>k</t>
  </si>
  <si>
    <t>R</t>
  </si>
  <si>
    <t>K_choke</t>
  </si>
  <si>
    <t>Mb</t>
  </si>
  <si>
    <t>a</t>
  </si>
  <si>
    <t>Pet_Vol</t>
  </si>
  <si>
    <t>空気の密度の変化</t>
  </si>
  <si>
    <t>空気の噴出による推力と圧力推力の合計</t>
  </si>
  <si>
    <t>k*P*dDair/Dair</t>
  </si>
  <si>
    <t>現在の容器の状態</t>
  </si>
  <si>
    <t>t</t>
  </si>
  <si>
    <t>v</t>
  </si>
  <si>
    <t>P</t>
  </si>
  <si>
    <t>Dair</t>
  </si>
  <si>
    <t>p_choke</t>
  </si>
  <si>
    <t>p_exit</t>
  </si>
  <si>
    <t>Dair_exit</t>
  </si>
  <si>
    <t>V_air</t>
  </si>
  <si>
    <t>jet_air</t>
  </si>
  <si>
    <t>jet_p</t>
  </si>
  <si>
    <t>jet_force</t>
  </si>
  <si>
    <t>dDair</t>
  </si>
  <si>
    <t>dp</t>
  </si>
  <si>
    <t>P+dp</t>
  </si>
  <si>
    <t>Dair+dDair</t>
  </si>
  <si>
    <t>P*K_choke</t>
  </si>
  <si>
    <t>a*(p_exit-p_atm)</t>
  </si>
  <si>
    <t>jet_air+jet_p</t>
  </si>
  <si>
    <t>容器の速度</t>
  </si>
  <si>
    <t>m/s</t>
  </si>
  <si>
    <t>kg/m^3</t>
  </si>
  <si>
    <t>N</t>
  </si>
  <si>
    <t>N/m^2</t>
  </si>
  <si>
    <t>ｔ＋dt</t>
  </si>
  <si>
    <t>速度の変化</t>
  </si>
  <si>
    <t xml:space="preserve">    Mb = .165 '------------------------------ロケット本体質量[kg]</t>
  </si>
  <si>
    <t xml:space="preserve">    a = pai * (4.2 * 10 ^ (-3)) ^ 2   '----噴射口断面積[m^2]</t>
  </si>
  <si>
    <t xml:space="preserve">    P_start = 7 * P_atm '--------------------発射時のタンク内の空気の圧力[N/m^2]（今、7気圧に設定）</t>
  </si>
  <si>
    <t>ガス噴出の推力の計算</t>
  </si>
  <si>
    <t>推力の計算</t>
  </si>
  <si>
    <t>変化量の計算</t>
  </si>
  <si>
    <t>dv</t>
  </si>
  <si>
    <t>Dair*(p_exit/P)^(1/k)</t>
  </si>
  <si>
    <t>Sqr(2 * k/(k-1)*P/Dair*(1-(p_exit/P)^((k-1)/k)))</t>
  </si>
  <si>
    <t>Dair_exit*a*V_air^2</t>
  </si>
  <si>
    <t>=-Dair_exit*a*V_air*dt/Vol</t>
  </si>
  <si>
    <t xml:space="preserve"> (jet_force / (Mb + Mair)) * dt </t>
  </si>
  <si>
    <t>v+dv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</si>
</sst>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shrinkToFit="1"/>
    </xf>
    <xf numFmtId="0" fontId="22" fillId="0" borderId="0" xfId="0" applyFont="1" applyAlignment="1">
      <alignment shrinkToFit="1"/>
    </xf>
    <xf numFmtId="0" fontId="22" fillId="0" borderId="18" xfId="0" applyFont="1" applyBorder="1" applyAlignment="1">
      <alignment shrinkToFi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 horizontal="center"/>
    </xf>
    <xf numFmtId="0" fontId="22" fillId="0" borderId="18" xfId="0" applyFont="1" applyBorder="1" applyAlignment="1" quotePrefix="1">
      <alignment horizontal="center" vertical="center" wrapText="1" shrinkToFit="1"/>
    </xf>
    <xf numFmtId="0" fontId="22" fillId="0" borderId="20" xfId="0" applyFont="1" applyBorder="1" applyAlignment="1">
      <alignment horizontal="center" shrinkToFit="1"/>
    </xf>
    <xf numFmtId="0" fontId="22" fillId="0" borderId="18" xfId="0" applyFont="1" applyBorder="1" applyAlignment="1">
      <alignment/>
    </xf>
    <xf numFmtId="0" fontId="22" fillId="0" borderId="31" xfId="0" applyFont="1" applyBorder="1" applyAlignment="1">
      <alignment horizontal="center" vertical="center"/>
    </xf>
    <xf numFmtId="0" fontId="21" fillId="4" borderId="22" xfId="22" applyFont="1" applyFill="1" applyBorder="1" applyAlignment="1">
      <alignment horizontal="center"/>
    </xf>
    <xf numFmtId="0" fontId="21" fillId="4" borderId="30" xfId="22" applyFont="1" applyFill="1" applyBorder="1" applyAlignment="1">
      <alignment horizont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 wrapText="1" shrinkToFit="1"/>
    </xf>
    <xf numFmtId="0" fontId="0" fillId="0" borderId="38" xfId="0" applyBorder="1" applyAlignment="1">
      <alignment horizontal="center" vertical="center" textRotation="255" wrapText="1" shrinkToFit="1"/>
    </xf>
    <xf numFmtId="0" fontId="0" fillId="0" borderId="39" xfId="0" applyBorder="1" applyAlignment="1">
      <alignment horizontal="center" vertical="center" textRotation="255" wrapText="1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22" fillId="0" borderId="2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21" fillId="4" borderId="31" xfId="22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2" fillId="0" borderId="2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ボトルの速度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Sheet1!$E$41:$E$72</c:f>
              <c:numCache/>
            </c:numRef>
          </c:xVal>
          <c:yVal>
            <c:numRef>
              <c:f>Sheet1!$F$41:$F$72</c:f>
              <c:numCache/>
            </c:numRef>
          </c:yVal>
          <c:smooth val="1"/>
        </c:ser>
        <c:axId val="60605123"/>
        <c:axId val="49669096"/>
      </c:scatterChart>
      <c:valAx>
        <c:axId val="6060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69096"/>
        <c:crosses val="autoZero"/>
        <c:crossBetween val="midCat"/>
        <c:dispUnits/>
      </c:valAx>
      <c:valAx>
        <c:axId val="496690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05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推力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7"/>
          <c:w val="0.67925"/>
          <c:h val="0.7435"/>
        </c:manualLayout>
      </c:layout>
      <c:scatterChart>
        <c:scatterStyle val="smooth"/>
        <c:varyColors val="0"/>
        <c:ser>
          <c:idx val="0"/>
          <c:order val="0"/>
          <c:tx>
            <c:v>ガスの噴出推力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Sheet1!$E$41:$E$72</c:f>
              <c:numCache/>
            </c:numRef>
          </c:xVal>
          <c:yVal>
            <c:numRef>
              <c:f>Sheet1!$M$41:$M$72</c:f>
              <c:numCache/>
            </c:numRef>
          </c:yVal>
          <c:smooth val="1"/>
        </c:ser>
        <c:ser>
          <c:idx val="1"/>
          <c:order val="1"/>
          <c:tx>
            <c:v>圧力推力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Sheet1!$E$41:$E$72</c:f>
              <c:numCache/>
            </c:numRef>
          </c:xVal>
          <c:yVal>
            <c:numRef>
              <c:f>Sheet1!$N$41:$N$72</c:f>
              <c:numCache/>
            </c:numRef>
          </c:yVal>
          <c:smooth val="1"/>
        </c:ser>
        <c:axId val="41718473"/>
        <c:axId val="5469238"/>
      </c:scatterChart>
      <c:valAx>
        <c:axId val="4171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時刻（ｓ）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9238"/>
        <c:crosses val="autoZero"/>
        <c:crossBetween val="midCat"/>
        <c:dispUnits/>
      </c:valAx>
      <c:valAx>
        <c:axId val="54692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推力（N)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718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373"/>
          <c:w val="0.1805"/>
          <c:h val="0.1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27</xdr:row>
      <xdr:rowOff>104775</xdr:rowOff>
    </xdr:from>
    <xdr:to>
      <xdr:col>6</xdr:col>
      <xdr:colOff>457200</xdr:colOff>
      <xdr:row>33</xdr:row>
      <xdr:rowOff>390525</xdr:rowOff>
    </xdr:to>
    <xdr:graphicFrame>
      <xdr:nvGraphicFramePr>
        <xdr:cNvPr id="1" name="Chart 44"/>
        <xdr:cNvGraphicFramePr/>
      </xdr:nvGraphicFramePr>
      <xdr:xfrm>
        <a:off x="590550" y="4905375"/>
        <a:ext cx="4200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27</xdr:row>
      <xdr:rowOff>85725</xdr:rowOff>
    </xdr:from>
    <xdr:to>
      <xdr:col>16</xdr:col>
      <xdr:colOff>76200</xdr:colOff>
      <xdr:row>33</xdr:row>
      <xdr:rowOff>428625</xdr:rowOff>
    </xdr:to>
    <xdr:graphicFrame>
      <xdr:nvGraphicFramePr>
        <xdr:cNvPr id="2" name="Chart 45"/>
        <xdr:cNvGraphicFramePr/>
      </xdr:nvGraphicFramePr>
      <xdr:xfrm>
        <a:off x="5581650" y="4886325"/>
        <a:ext cx="57816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2"/>
  <sheetViews>
    <sheetView tabSelected="1" zoomScale="55" zoomScaleNormal="55" zoomScalePageLayoutView="0" workbookViewId="0" topLeftCell="A1">
      <selection activeCell="T32" sqref="T32"/>
    </sheetView>
  </sheetViews>
  <sheetFormatPr defaultColWidth="9.00390625" defaultRowHeight="13.5"/>
  <cols>
    <col min="2" max="2" width="7.125" style="0" customWidth="1"/>
    <col min="3" max="3" width="14.875" style="0" customWidth="1"/>
    <col min="4" max="4" width="7.625" style="1" customWidth="1"/>
    <col min="5" max="18" width="9.125" style="0" customWidth="1"/>
  </cols>
  <sheetData>
    <row r="1" ht="14.25" thickBot="1"/>
    <row r="2" spans="3:8" ht="20.25" customHeight="1" thickBot="1">
      <c r="C2" s="49" t="s">
        <v>83</v>
      </c>
      <c r="D2" s="50"/>
      <c r="E2" s="50"/>
      <c r="F2" s="50"/>
      <c r="G2" s="50"/>
      <c r="H2" s="71"/>
    </row>
    <row r="3" ht="14.25" thickBot="1">
      <c r="F3" s="1"/>
    </row>
    <row r="4" spans="3:15" ht="14.25" thickBot="1">
      <c r="C4" s="13" t="s">
        <v>0</v>
      </c>
      <c r="D4" s="13" t="s">
        <v>7</v>
      </c>
      <c r="E4" s="28" t="s">
        <v>5</v>
      </c>
      <c r="F4" s="72" t="s">
        <v>1</v>
      </c>
      <c r="G4" s="73"/>
      <c r="H4" s="73"/>
      <c r="I4" s="73"/>
      <c r="J4" s="73"/>
      <c r="K4" s="73"/>
      <c r="L4" s="73"/>
      <c r="M4" s="73"/>
      <c r="N4" s="74"/>
      <c r="O4" s="9"/>
    </row>
    <row r="5" spans="2:15" ht="13.5">
      <c r="B5" s="51" t="s">
        <v>16</v>
      </c>
      <c r="C5" s="3">
        <v>3.141592654</v>
      </c>
      <c r="D5" s="29"/>
      <c r="E5" s="39" t="s">
        <v>41</v>
      </c>
      <c r="F5" s="68" t="s">
        <v>17</v>
      </c>
      <c r="G5" s="69"/>
      <c r="H5" s="69"/>
      <c r="I5" s="69"/>
      <c r="J5" s="69"/>
      <c r="K5" s="69"/>
      <c r="L5" s="69"/>
      <c r="M5" s="69"/>
      <c r="N5" s="70"/>
      <c r="O5" s="5"/>
    </row>
    <row r="6" spans="2:15" ht="13.5">
      <c r="B6" s="52"/>
      <c r="C6" s="2">
        <f>1.013*10^5</f>
        <v>101299.99999999999</v>
      </c>
      <c r="D6" s="30" t="s">
        <v>4</v>
      </c>
      <c r="E6" s="40" t="s">
        <v>42</v>
      </c>
      <c r="F6" s="62" t="s">
        <v>12</v>
      </c>
      <c r="G6" s="63"/>
      <c r="H6" s="63"/>
      <c r="I6" s="63"/>
      <c r="J6" s="63"/>
      <c r="K6" s="63"/>
      <c r="L6" s="63"/>
      <c r="M6" s="63"/>
      <c r="N6" s="64"/>
      <c r="O6" s="5"/>
    </row>
    <row r="7" spans="2:15" ht="13.5">
      <c r="B7" s="52"/>
      <c r="C7" s="2">
        <v>999.1</v>
      </c>
      <c r="D7" s="30" t="s">
        <v>33</v>
      </c>
      <c r="E7" s="40" t="s">
        <v>43</v>
      </c>
      <c r="F7" s="62" t="s">
        <v>13</v>
      </c>
      <c r="G7" s="63"/>
      <c r="H7" s="63"/>
      <c r="I7" s="63"/>
      <c r="J7" s="63"/>
      <c r="K7" s="63"/>
      <c r="L7" s="63"/>
      <c r="M7" s="63"/>
      <c r="N7" s="64"/>
      <c r="O7" s="5"/>
    </row>
    <row r="8" spans="2:15" ht="13.5">
      <c r="B8" s="52"/>
      <c r="C8" s="2">
        <v>1.2</v>
      </c>
      <c r="D8" s="30" t="s">
        <v>33</v>
      </c>
      <c r="E8" s="40" t="s">
        <v>44</v>
      </c>
      <c r="F8" s="62" t="s">
        <v>14</v>
      </c>
      <c r="G8" s="63"/>
      <c r="H8" s="63"/>
      <c r="I8" s="63"/>
      <c r="J8" s="63"/>
      <c r="K8" s="63"/>
      <c r="L8" s="63"/>
      <c r="M8" s="63"/>
      <c r="N8" s="64"/>
      <c r="O8" s="5"/>
    </row>
    <row r="9" spans="2:15" ht="13.5">
      <c r="B9" s="52"/>
      <c r="C9" s="2">
        <v>1.4</v>
      </c>
      <c r="D9" s="30"/>
      <c r="E9" s="40" t="s">
        <v>45</v>
      </c>
      <c r="F9" s="62" t="s">
        <v>39</v>
      </c>
      <c r="G9" s="63"/>
      <c r="H9" s="63"/>
      <c r="I9" s="63"/>
      <c r="J9" s="63"/>
      <c r="K9" s="63"/>
      <c r="L9" s="63"/>
      <c r="M9" s="63"/>
      <c r="N9" s="64"/>
      <c r="O9" s="14"/>
    </row>
    <row r="10" spans="2:15" ht="13.5">
      <c r="B10" s="52"/>
      <c r="C10" s="2">
        <v>287.03</v>
      </c>
      <c r="D10" s="30" t="s">
        <v>34</v>
      </c>
      <c r="E10" s="40" t="s">
        <v>46</v>
      </c>
      <c r="F10" s="62" t="s">
        <v>40</v>
      </c>
      <c r="G10" s="63"/>
      <c r="H10" s="63"/>
      <c r="I10" s="63"/>
      <c r="J10" s="63"/>
      <c r="K10" s="63"/>
      <c r="L10" s="63"/>
      <c r="M10" s="63"/>
      <c r="N10" s="64"/>
      <c r="O10" s="5"/>
    </row>
    <row r="11" spans="2:15" ht="13.5">
      <c r="B11" s="52"/>
      <c r="C11" s="6"/>
      <c r="D11" s="31"/>
      <c r="E11" s="41"/>
      <c r="F11" s="62"/>
      <c r="G11" s="63"/>
      <c r="H11" s="63"/>
      <c r="I11" s="63"/>
      <c r="J11" s="63"/>
      <c r="K11" s="63"/>
      <c r="L11" s="63"/>
      <c r="M11" s="63"/>
      <c r="N11" s="64"/>
      <c r="O11" s="5"/>
    </row>
    <row r="12" spans="2:15" ht="14.25" thickBot="1">
      <c r="B12" s="53"/>
      <c r="C12" s="4">
        <f>(2/($C$9+1))^($C$9/($C$9-1))</f>
        <v>0.5282817877171742</v>
      </c>
      <c r="D12" s="32"/>
      <c r="E12" s="42" t="s">
        <v>47</v>
      </c>
      <c r="F12" s="65" t="s">
        <v>15</v>
      </c>
      <c r="G12" s="66"/>
      <c r="H12" s="66"/>
      <c r="I12" s="66"/>
      <c r="J12" s="66"/>
      <c r="K12" s="66"/>
      <c r="L12" s="66"/>
      <c r="M12" s="66"/>
      <c r="N12" s="67"/>
      <c r="O12" s="5"/>
    </row>
    <row r="13" spans="2:15" ht="13.5" customHeight="1">
      <c r="B13" s="54" t="s">
        <v>18</v>
      </c>
      <c r="C13" s="10"/>
      <c r="D13" s="33"/>
      <c r="E13" s="39"/>
      <c r="F13" s="68"/>
      <c r="G13" s="69"/>
      <c r="H13" s="69"/>
      <c r="I13" s="69"/>
      <c r="J13" s="69"/>
      <c r="K13" s="69"/>
      <c r="L13" s="69"/>
      <c r="M13" s="69"/>
      <c r="N13" s="70"/>
      <c r="O13" s="5"/>
    </row>
    <row r="14" spans="2:15" ht="13.5">
      <c r="B14" s="55"/>
      <c r="C14" s="11">
        <v>0.165</v>
      </c>
      <c r="D14" s="34" t="s">
        <v>8</v>
      </c>
      <c r="E14" s="40" t="s">
        <v>48</v>
      </c>
      <c r="F14" s="62" t="s">
        <v>80</v>
      </c>
      <c r="G14" s="63"/>
      <c r="H14" s="63"/>
      <c r="I14" s="63"/>
      <c r="J14" s="63"/>
      <c r="K14" s="63"/>
      <c r="L14" s="63"/>
      <c r="M14" s="63"/>
      <c r="N14" s="64"/>
      <c r="O14" s="5"/>
    </row>
    <row r="15" spans="2:15" ht="13.5">
      <c r="B15" s="55"/>
      <c r="C15" s="11"/>
      <c r="D15" s="34"/>
      <c r="E15" s="40"/>
      <c r="F15" s="62"/>
      <c r="G15" s="63"/>
      <c r="H15" s="63"/>
      <c r="I15" s="63"/>
      <c r="J15" s="63"/>
      <c r="K15" s="63"/>
      <c r="L15" s="63"/>
      <c r="M15" s="63"/>
      <c r="N15" s="64"/>
      <c r="O15" s="5"/>
    </row>
    <row r="16" spans="2:15" ht="13.5">
      <c r="B16" s="55"/>
      <c r="C16" s="11">
        <f>C5*(4.2*10^(-3))^2</f>
        <v>5.5417694416560016E-05</v>
      </c>
      <c r="D16" s="34" t="s">
        <v>35</v>
      </c>
      <c r="E16" s="40" t="s">
        <v>49</v>
      </c>
      <c r="F16" s="62" t="s">
        <v>81</v>
      </c>
      <c r="G16" s="63"/>
      <c r="H16" s="63"/>
      <c r="I16" s="63"/>
      <c r="J16" s="63"/>
      <c r="K16" s="63"/>
      <c r="L16" s="63"/>
      <c r="M16" s="63"/>
      <c r="N16" s="64"/>
      <c r="O16" s="5"/>
    </row>
    <row r="17" spans="2:15" ht="14.25" thickBot="1">
      <c r="B17" s="56"/>
      <c r="C17" s="12">
        <f>1.5*10^(-3)</f>
        <v>0.0015</v>
      </c>
      <c r="D17" s="35" t="s">
        <v>36</v>
      </c>
      <c r="E17" s="42" t="s">
        <v>50</v>
      </c>
      <c r="F17" s="65" t="s">
        <v>31</v>
      </c>
      <c r="G17" s="66"/>
      <c r="H17" s="66"/>
      <c r="I17" s="66"/>
      <c r="J17" s="66"/>
      <c r="K17" s="66"/>
      <c r="L17" s="66"/>
      <c r="M17" s="66"/>
      <c r="N17" s="67"/>
      <c r="O17" s="5"/>
    </row>
    <row r="18" spans="2:14" ht="14.25" thickBot="1">
      <c r="B18" s="8"/>
      <c r="D18"/>
      <c r="F18" s="77"/>
      <c r="G18" s="77"/>
      <c r="H18" s="77"/>
      <c r="I18" s="77"/>
      <c r="J18" s="77"/>
      <c r="K18" s="77"/>
      <c r="L18" s="77"/>
      <c r="M18" s="77"/>
      <c r="N18" s="77"/>
    </row>
    <row r="19" spans="2:15" ht="13.5" customHeight="1">
      <c r="B19" s="57" t="s">
        <v>21</v>
      </c>
      <c r="C19" s="10">
        <f>7*C6</f>
        <v>709099.9999999999</v>
      </c>
      <c r="D19" s="10" t="s">
        <v>4</v>
      </c>
      <c r="E19" s="33"/>
      <c r="F19" s="68" t="s">
        <v>82</v>
      </c>
      <c r="G19" s="69"/>
      <c r="H19" s="69"/>
      <c r="I19" s="69"/>
      <c r="J19" s="69"/>
      <c r="K19" s="69"/>
      <c r="L19" s="69"/>
      <c r="M19" s="69"/>
      <c r="N19" s="70"/>
      <c r="O19" s="5"/>
    </row>
    <row r="20" spans="2:15" ht="13.5">
      <c r="B20" s="58"/>
      <c r="C20" s="11">
        <f>273+15</f>
        <v>288</v>
      </c>
      <c r="D20" s="11" t="s">
        <v>37</v>
      </c>
      <c r="E20" s="34"/>
      <c r="F20" s="62" t="s">
        <v>19</v>
      </c>
      <c r="G20" s="63"/>
      <c r="H20" s="63"/>
      <c r="I20" s="63"/>
      <c r="J20" s="63"/>
      <c r="K20" s="63"/>
      <c r="L20" s="63"/>
      <c r="M20" s="63"/>
      <c r="N20" s="64"/>
      <c r="O20" s="5"/>
    </row>
    <row r="21" spans="2:15" ht="13.5">
      <c r="B21" s="58"/>
      <c r="C21" s="11">
        <f>C19/(C10*C20)</f>
        <v>8.578032880806111</v>
      </c>
      <c r="D21" s="11" t="s">
        <v>32</v>
      </c>
      <c r="E21" s="34"/>
      <c r="F21" s="62" t="s">
        <v>20</v>
      </c>
      <c r="G21" s="63"/>
      <c r="H21" s="63"/>
      <c r="I21" s="63"/>
      <c r="J21" s="63"/>
      <c r="K21" s="63"/>
      <c r="L21" s="63"/>
      <c r="M21" s="63"/>
      <c r="N21" s="64"/>
      <c r="O21" s="5"/>
    </row>
    <row r="22" spans="2:15" ht="13.5">
      <c r="B22" s="58"/>
      <c r="C22" s="11"/>
      <c r="D22" s="11"/>
      <c r="E22" s="34"/>
      <c r="F22" s="62"/>
      <c r="G22" s="63"/>
      <c r="H22" s="63"/>
      <c r="I22" s="63"/>
      <c r="J22" s="63"/>
      <c r="K22" s="63"/>
      <c r="L22" s="63"/>
      <c r="M22" s="63"/>
      <c r="N22" s="64"/>
      <c r="O22" s="5"/>
    </row>
    <row r="23" spans="2:15" ht="14.25" thickBot="1">
      <c r="B23" s="59"/>
      <c r="C23" s="12"/>
      <c r="D23" s="12"/>
      <c r="E23" s="35"/>
      <c r="F23" s="65"/>
      <c r="G23" s="66"/>
      <c r="H23" s="66"/>
      <c r="I23" s="66"/>
      <c r="J23" s="66"/>
      <c r="K23" s="66"/>
      <c r="L23" s="66"/>
      <c r="M23" s="66"/>
      <c r="N23" s="67"/>
      <c r="O23" s="5"/>
    </row>
    <row r="25" ht="14.25" thickBot="1"/>
    <row r="26" spans="3:15" ht="14.25" thickBot="1">
      <c r="C26" s="43">
        <v>0.01</v>
      </c>
      <c r="D26" s="44" t="s">
        <v>38</v>
      </c>
      <c r="E26" s="36" t="s">
        <v>11</v>
      </c>
      <c r="F26" s="37"/>
      <c r="G26" s="37"/>
      <c r="H26" s="37"/>
      <c r="I26" s="37"/>
      <c r="J26" s="38"/>
      <c r="K26" s="5"/>
      <c r="L26" s="5"/>
      <c r="M26" s="5"/>
      <c r="N26" s="5"/>
      <c r="O26" s="5"/>
    </row>
    <row r="27" spans="3:15" ht="13.5">
      <c r="C27" s="7"/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36.75" customHeight="1">
      <c r="C28" s="7"/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36.75" customHeight="1">
      <c r="C29" s="7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36.75" customHeight="1">
      <c r="C30" s="7"/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36.75" customHeight="1">
      <c r="C31" s="7"/>
      <c r="D31" s="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36.75" customHeight="1">
      <c r="C32" s="7"/>
      <c r="D32" s="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36.75" customHeight="1">
      <c r="C33" s="7"/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36.75" customHeight="1">
      <c r="C34" s="7"/>
      <c r="D34" s="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ht="30.75" customHeight="1" thickBot="1"/>
    <row r="36" spans="4:18" s="15" customFormat="1" ht="33.75" customHeight="1" thickBot="1">
      <c r="D36" s="16"/>
      <c r="F36" s="60" t="s">
        <v>54</v>
      </c>
      <c r="G36" s="61"/>
      <c r="H36" s="61"/>
      <c r="I36" s="75" t="s">
        <v>84</v>
      </c>
      <c r="J36" s="76"/>
      <c r="K36" s="76"/>
      <c r="L36" s="76"/>
      <c r="M36" s="76"/>
      <c r="N36" s="76"/>
      <c r="O36" s="76"/>
      <c r="P36" s="60" t="s">
        <v>85</v>
      </c>
      <c r="Q36" s="61"/>
      <c r="R36" s="48"/>
    </row>
    <row r="37" spans="3:18" s="21" customFormat="1" ht="18" customHeight="1">
      <c r="C37" s="17" t="s">
        <v>5</v>
      </c>
      <c r="D37" s="17"/>
      <c r="E37" s="17" t="s">
        <v>55</v>
      </c>
      <c r="F37" s="18" t="s">
        <v>56</v>
      </c>
      <c r="G37" s="19" t="s">
        <v>57</v>
      </c>
      <c r="H37" s="19" t="s">
        <v>58</v>
      </c>
      <c r="I37" s="19" t="s">
        <v>59</v>
      </c>
      <c r="J37" s="19" t="s">
        <v>60</v>
      </c>
      <c r="K37" s="19" t="s">
        <v>61</v>
      </c>
      <c r="L37" s="19" t="s">
        <v>62</v>
      </c>
      <c r="M37" s="19" t="s">
        <v>63</v>
      </c>
      <c r="N37" s="19" t="s">
        <v>64</v>
      </c>
      <c r="O37" s="19" t="s">
        <v>65</v>
      </c>
      <c r="P37" s="20" t="s">
        <v>66</v>
      </c>
      <c r="Q37" s="19" t="s">
        <v>67</v>
      </c>
      <c r="R37" s="19" t="s">
        <v>86</v>
      </c>
    </row>
    <row r="38" spans="3:18" s="23" customFormat="1" ht="93.75" customHeight="1">
      <c r="C38" s="22" t="s">
        <v>6</v>
      </c>
      <c r="D38" s="22"/>
      <c r="E38" s="22" t="s">
        <v>2</v>
      </c>
      <c r="F38" s="22" t="s">
        <v>73</v>
      </c>
      <c r="G38" s="22" t="s">
        <v>29</v>
      </c>
      <c r="H38" s="22" t="s">
        <v>30</v>
      </c>
      <c r="I38" s="22" t="s">
        <v>22</v>
      </c>
      <c r="J38" s="22" t="s">
        <v>23</v>
      </c>
      <c r="K38" s="22" t="s">
        <v>25</v>
      </c>
      <c r="L38" s="22" t="s">
        <v>26</v>
      </c>
      <c r="M38" s="22" t="s">
        <v>27</v>
      </c>
      <c r="N38" s="22" t="s">
        <v>28</v>
      </c>
      <c r="O38" s="22" t="s">
        <v>52</v>
      </c>
      <c r="P38" s="22" t="s">
        <v>51</v>
      </c>
      <c r="Q38" s="22" t="s">
        <v>9</v>
      </c>
      <c r="R38" s="22" t="s">
        <v>79</v>
      </c>
    </row>
    <row r="39" spans="3:18" s="23" customFormat="1" ht="164.25" customHeight="1">
      <c r="C39" s="24" t="s">
        <v>10</v>
      </c>
      <c r="D39" s="24"/>
      <c r="E39" s="24" t="s">
        <v>78</v>
      </c>
      <c r="F39" s="24" t="s">
        <v>92</v>
      </c>
      <c r="G39" s="24" t="s">
        <v>68</v>
      </c>
      <c r="H39" s="24" t="s">
        <v>69</v>
      </c>
      <c r="I39" s="24" t="s">
        <v>70</v>
      </c>
      <c r="J39" s="24" t="s">
        <v>24</v>
      </c>
      <c r="K39" s="24" t="s">
        <v>87</v>
      </c>
      <c r="L39" s="24" t="s">
        <v>88</v>
      </c>
      <c r="M39" s="24" t="s">
        <v>89</v>
      </c>
      <c r="N39" s="24" t="s">
        <v>71</v>
      </c>
      <c r="O39" s="24" t="s">
        <v>72</v>
      </c>
      <c r="P39" s="45" t="s">
        <v>90</v>
      </c>
      <c r="Q39" s="24" t="s">
        <v>53</v>
      </c>
      <c r="R39" s="24" t="s">
        <v>91</v>
      </c>
    </row>
    <row r="40" spans="3:18" s="21" customFormat="1" ht="14.25" thickBot="1">
      <c r="C40" s="25" t="s">
        <v>7</v>
      </c>
      <c r="D40" s="25"/>
      <c r="E40" s="46" t="s">
        <v>3</v>
      </c>
      <c r="F40" s="46" t="s">
        <v>74</v>
      </c>
      <c r="G40" s="46" t="s">
        <v>4</v>
      </c>
      <c r="H40" s="46" t="s">
        <v>75</v>
      </c>
      <c r="I40" s="46" t="s">
        <v>4</v>
      </c>
      <c r="J40" s="46" t="s">
        <v>4</v>
      </c>
      <c r="K40" s="46" t="s">
        <v>75</v>
      </c>
      <c r="L40" s="46" t="s">
        <v>74</v>
      </c>
      <c r="M40" s="46" t="s">
        <v>76</v>
      </c>
      <c r="N40" s="46" t="s">
        <v>76</v>
      </c>
      <c r="O40" s="46" t="s">
        <v>76</v>
      </c>
      <c r="P40" s="46" t="s">
        <v>75</v>
      </c>
      <c r="Q40" s="46" t="s">
        <v>77</v>
      </c>
      <c r="R40" s="46" t="s">
        <v>74</v>
      </c>
    </row>
    <row r="41" spans="4:18" s="26" customFormat="1" ht="14.25" thickTop="1">
      <c r="D41" s="21"/>
      <c r="E41" s="27">
        <v>0</v>
      </c>
      <c r="F41" s="27">
        <v>0</v>
      </c>
      <c r="G41" s="27">
        <f>$C$19</f>
        <v>709099.9999999999</v>
      </c>
      <c r="H41" s="27">
        <f>$C$21</f>
        <v>8.578032880806111</v>
      </c>
      <c r="I41" s="27">
        <f>G41*$C$12</f>
        <v>374604.6156702481</v>
      </c>
      <c r="J41" s="27">
        <f>IF(I41&gt;$C$6,I41,$C$6)</f>
        <v>374604.6156702481</v>
      </c>
      <c r="K41" s="27">
        <f>H41*(J41/G41)^(1/$C$9)</f>
        <v>5.437942254442745</v>
      </c>
      <c r="L41" s="27">
        <f>IF(G41&gt;$C$6,SQRT(2*$C$9/($C$9-1)*G41/H41*(1-(J41/G41)^(($C$9-1)/$C$9))),0)</f>
        <v>310.5512518087795</v>
      </c>
      <c r="M41" s="27">
        <f>K41*$C$16*L41^2</f>
        <v>29.06361376554541</v>
      </c>
      <c r="N41" s="27">
        <f>IF(J41&gt;$C$6,$C$16*(J41-$C$6),0)</f>
        <v>15.14591167384919</v>
      </c>
      <c r="O41" s="27">
        <f>M41+N41</f>
        <v>44.209525439394596</v>
      </c>
      <c r="P41" s="27">
        <f>-K41*$C$16*L41*$C$26/$C$17</f>
        <v>-0.6239144874641861</v>
      </c>
      <c r="Q41" s="27">
        <f>$C$9*G41*P41/H41</f>
        <v>-72205.93309581601</v>
      </c>
      <c r="R41" s="27">
        <f>(O41/($C$14+H41*$C$17))*$C$26</f>
        <v>2.4855376871719983</v>
      </c>
    </row>
    <row r="42" spans="4:18" s="15" customFormat="1" ht="13.5">
      <c r="D42" s="16"/>
      <c r="E42" s="47">
        <f>E41+$C$26</f>
        <v>0.01</v>
      </c>
      <c r="F42" s="47">
        <f>F41+R41</f>
        <v>2.4855376871719983</v>
      </c>
      <c r="G42" s="47">
        <f>G41+Q41</f>
        <v>636894.0669041838</v>
      </c>
      <c r="H42" s="47">
        <f>H41+P41</f>
        <v>7.954118393341925</v>
      </c>
      <c r="I42" s="27">
        <f>G42*$C$12</f>
        <v>336459.53625060373</v>
      </c>
      <c r="J42" s="27">
        <f>IF(I42&gt;$C$6,I42,$C$6)</f>
        <v>336459.53625060373</v>
      </c>
      <c r="K42" s="27">
        <f>H42*(J42/G42)^(1/$C$9)</f>
        <v>5.0424190614584745</v>
      </c>
      <c r="L42" s="27">
        <f aca="true" t="shared" si="0" ref="L42:L72">IF(G42&gt;$C$6,SQRT(2*$C$9/($C$9-1)*G42/H42*(1-(J42/G42)^(($C$9-1)/$C$9))),0)</f>
        <v>305.6405488642528</v>
      </c>
      <c r="M42" s="27">
        <f>K42*$C$16*L42^2</f>
        <v>26.104136468862837</v>
      </c>
      <c r="N42" s="27">
        <f>IF(J42&gt;$C$6,$C$16*(J42-$C$6),0)</f>
        <v>13.031999319075926</v>
      </c>
      <c r="O42" s="27">
        <f>M42+N42</f>
        <v>39.13613578793876</v>
      </c>
      <c r="P42" s="27">
        <f>-K42*$C$16*L42*$C$26/$C$17</f>
        <v>-0.5693864152049346</v>
      </c>
      <c r="Q42" s="27">
        <f>$C$9*G42*P42/H42</f>
        <v>-63827.86078376476</v>
      </c>
      <c r="R42" s="27">
        <f>(O42/($C$14+H42*$C$17))*$C$26</f>
        <v>2.2119411808033913</v>
      </c>
    </row>
    <row r="43" spans="5:18" ht="13.5">
      <c r="E43" s="47">
        <f aca="true" t="shared" si="1" ref="E43:E72">E42+$C$26</f>
        <v>0.02</v>
      </c>
      <c r="F43" s="47">
        <f aca="true" t="shared" si="2" ref="F43:F72">F42+R42</f>
        <v>4.69747886797539</v>
      </c>
      <c r="G43" s="47">
        <f aca="true" t="shared" si="3" ref="G43:G72">G42+Q42</f>
        <v>573066.2061204191</v>
      </c>
      <c r="H43" s="47">
        <f aca="true" t="shared" si="4" ref="H43:H72">H42+P42</f>
        <v>7.3847319781369904</v>
      </c>
      <c r="I43" s="27">
        <f aca="true" t="shared" si="5" ref="I43:I72">G43*$C$12</f>
        <v>302740.4398495936</v>
      </c>
      <c r="J43" s="27">
        <f aca="true" t="shared" si="6" ref="J43:J72">IF(I43&gt;$C$6,I43,$C$6)</f>
        <v>302740.4398495936</v>
      </c>
      <c r="K43" s="27">
        <f aca="true" t="shared" si="7" ref="K43:K72">H43*(J43/G43)^(1/$C$9)</f>
        <v>4.681463293466872</v>
      </c>
      <c r="L43" s="27">
        <f t="shared" si="0"/>
        <v>300.89046492457385</v>
      </c>
      <c r="M43" s="27">
        <f aca="true" t="shared" si="8" ref="M43:M72">K43*$C$16*L43^2</f>
        <v>23.488048056367646</v>
      </c>
      <c r="N43" s="27">
        <f aca="true" t="shared" si="9" ref="N43:N72">IF(J43&gt;$C$6,$C$16*(J43-$C$6),0)</f>
        <v>11.163364738722217</v>
      </c>
      <c r="O43" s="27">
        <f aca="true" t="shared" si="10" ref="O43:O72">M43+N43</f>
        <v>34.65141279508986</v>
      </c>
      <c r="P43" s="27">
        <f aca="true" t="shared" si="11" ref="P43:P72">-K43*$C$16*L43*$C$26/$C$17</f>
        <v>-0.5204119282467249</v>
      </c>
      <c r="Q43" s="27">
        <f aca="true" t="shared" si="12" ref="Q43:Q72">$C$9*G43*P43/H43</f>
        <v>-56538.63759880956</v>
      </c>
      <c r="R43" s="27">
        <f aca="true" t="shared" si="13" ref="R43:R72">(O43/($C$14+H43*$C$17))*$C$26</f>
        <v>1.9679681909309816</v>
      </c>
    </row>
    <row r="44" spans="5:18" ht="13.5">
      <c r="E44" s="47">
        <f t="shared" si="1"/>
        <v>0.03</v>
      </c>
      <c r="F44" s="47">
        <f t="shared" si="2"/>
        <v>6.665447058906372</v>
      </c>
      <c r="G44" s="47">
        <f t="shared" si="3"/>
        <v>516527.56852160953</v>
      </c>
      <c r="H44" s="47">
        <f t="shared" si="4"/>
        <v>6.8643200498902655</v>
      </c>
      <c r="I44" s="27">
        <f t="shared" si="5"/>
        <v>272872.10730380105</v>
      </c>
      <c r="J44" s="27">
        <f t="shared" si="6"/>
        <v>272872.10730380105</v>
      </c>
      <c r="K44" s="27">
        <f t="shared" si="7"/>
        <v>4.351554320902646</v>
      </c>
      <c r="L44" s="27">
        <f t="shared" si="0"/>
        <v>296.29299614616934</v>
      </c>
      <c r="M44" s="27">
        <f t="shared" si="8"/>
        <v>21.170720280310753</v>
      </c>
      <c r="N44" s="27">
        <f t="shared" si="9"/>
        <v>9.50813061296729</v>
      </c>
      <c r="O44" s="27">
        <f t="shared" si="10"/>
        <v>30.678850893278046</v>
      </c>
      <c r="P44" s="27">
        <f t="shared" si="11"/>
        <v>-0.4763465118576223</v>
      </c>
      <c r="Q44" s="27">
        <f t="shared" si="12"/>
        <v>-50181.88913940593</v>
      </c>
      <c r="R44" s="27">
        <f t="shared" si="13"/>
        <v>1.750112203061979</v>
      </c>
    </row>
    <row r="45" spans="5:18" ht="13.5">
      <c r="E45" s="47">
        <f t="shared" si="1"/>
        <v>0.04</v>
      </c>
      <c r="F45" s="47">
        <f t="shared" si="2"/>
        <v>8.415559261968351</v>
      </c>
      <c r="G45" s="47">
        <f t="shared" si="3"/>
        <v>466345.6793822036</v>
      </c>
      <c r="H45" s="47">
        <f t="shared" si="4"/>
        <v>6.387973538032643</v>
      </c>
      <c r="I45" s="27">
        <f t="shared" si="5"/>
        <v>246361.92919821065</v>
      </c>
      <c r="J45" s="27">
        <f t="shared" si="6"/>
        <v>246361.92919821065</v>
      </c>
      <c r="K45" s="27">
        <f t="shared" si="7"/>
        <v>4.049580096674264</v>
      </c>
      <c r="L45" s="27">
        <f t="shared" si="0"/>
        <v>291.8406737891823</v>
      </c>
      <c r="M45" s="27">
        <f t="shared" si="8"/>
        <v>19.113934151452884</v>
      </c>
      <c r="N45" s="27">
        <f t="shared" si="9"/>
        <v>8.038997663783103</v>
      </c>
      <c r="O45" s="27">
        <f t="shared" si="10"/>
        <v>27.152931815235988</v>
      </c>
      <c r="P45" s="27">
        <f t="shared" si="11"/>
        <v>-0.4366294321551689</v>
      </c>
      <c r="Q45" s="27">
        <f t="shared" si="12"/>
        <v>-44625.78737217657</v>
      </c>
      <c r="R45" s="27">
        <f t="shared" si="13"/>
        <v>1.5553114289403274</v>
      </c>
    </row>
    <row r="46" spans="5:18" ht="13.5">
      <c r="E46" s="47">
        <f t="shared" si="1"/>
        <v>0.05</v>
      </c>
      <c r="F46" s="47">
        <f t="shared" si="2"/>
        <v>9.97087069090868</v>
      </c>
      <c r="G46" s="47">
        <f t="shared" si="3"/>
        <v>421719.892010027</v>
      </c>
      <c r="H46" s="47">
        <f t="shared" si="4"/>
        <v>5.9513441058774745</v>
      </c>
      <c r="I46" s="27">
        <f t="shared" si="5"/>
        <v>222786.9384669507</v>
      </c>
      <c r="J46" s="27">
        <f t="shared" si="6"/>
        <v>222786.9384669507</v>
      </c>
      <c r="K46" s="27">
        <f t="shared" si="7"/>
        <v>3.7727840442876235</v>
      </c>
      <c r="L46" s="27">
        <f t="shared" si="0"/>
        <v>287.52651947258784</v>
      </c>
      <c r="M46" s="27">
        <f t="shared" si="8"/>
        <v>17.284873866347404</v>
      </c>
      <c r="N46" s="27">
        <f t="shared" si="9"/>
        <v>6.7325260315649045</v>
      </c>
      <c r="O46" s="27">
        <f t="shared" si="10"/>
        <v>24.01739989791231</v>
      </c>
      <c r="P46" s="27">
        <f t="shared" si="11"/>
        <v>-0.4007717015240469</v>
      </c>
      <c r="Q46" s="27">
        <f t="shared" si="12"/>
        <v>-39758.876978508495</v>
      </c>
      <c r="R46" s="27">
        <f t="shared" si="13"/>
        <v>1.3808895494407574</v>
      </c>
    </row>
    <row r="47" spans="5:18" ht="13.5">
      <c r="E47" s="47">
        <f t="shared" si="1"/>
        <v>0.060000000000000005</v>
      </c>
      <c r="F47" s="47">
        <f t="shared" si="2"/>
        <v>11.351760240349437</v>
      </c>
      <c r="G47" s="47">
        <f t="shared" si="3"/>
        <v>381961.01503151853</v>
      </c>
      <c r="H47" s="47">
        <f t="shared" si="4"/>
        <v>5.550572404353428</v>
      </c>
      <c r="I47" s="27">
        <f t="shared" si="5"/>
        <v>201783.04785911704</v>
      </c>
      <c r="J47" s="27">
        <f t="shared" si="6"/>
        <v>201783.04785911704</v>
      </c>
      <c r="K47" s="27">
        <f t="shared" si="7"/>
        <v>3.518719575150531</v>
      </c>
      <c r="L47" s="27">
        <f t="shared" si="0"/>
        <v>283.3440049052627</v>
      </c>
      <c r="M47" s="27">
        <f t="shared" si="8"/>
        <v>15.655291798578109</v>
      </c>
      <c r="N47" s="27">
        <f t="shared" si="9"/>
        <v>5.568538840301124</v>
      </c>
      <c r="O47" s="27">
        <f t="shared" si="10"/>
        <v>21.22383063887923</v>
      </c>
      <c r="P47" s="27">
        <f t="shared" si="11"/>
        <v>-0.36834593350728145</v>
      </c>
      <c r="Q47" s="27">
        <f t="shared" si="12"/>
        <v>-35486.66460935708</v>
      </c>
      <c r="R47" s="27">
        <f t="shared" si="13"/>
        <v>1.2245045724573502</v>
      </c>
    </row>
    <row r="48" spans="5:18" ht="13.5">
      <c r="E48" s="47">
        <f t="shared" si="1"/>
        <v>0.07</v>
      </c>
      <c r="F48" s="47">
        <f t="shared" si="2"/>
        <v>12.576264812806787</v>
      </c>
      <c r="G48" s="47">
        <f t="shared" si="3"/>
        <v>346474.35042216146</v>
      </c>
      <c r="H48" s="47">
        <f t="shared" si="4"/>
        <v>5.182226470846146</v>
      </c>
      <c r="I48" s="27">
        <f t="shared" si="5"/>
        <v>183036.08923916612</v>
      </c>
      <c r="J48" s="27">
        <f t="shared" si="6"/>
        <v>183036.08923916612</v>
      </c>
      <c r="K48" s="27">
        <f t="shared" si="7"/>
        <v>3.2852110372486374</v>
      </c>
      <c r="L48" s="27">
        <f t="shared" si="0"/>
        <v>279.28701557358045</v>
      </c>
      <c r="M48" s="27">
        <f t="shared" si="8"/>
        <v>14.20081328492164</v>
      </c>
      <c r="N48" s="27">
        <f t="shared" si="9"/>
        <v>4.529625616260788</v>
      </c>
      <c r="O48" s="27">
        <f t="shared" si="10"/>
        <v>18.730438901182428</v>
      </c>
      <c r="P48" s="27">
        <f t="shared" si="11"/>
        <v>-0.33897776583602807</v>
      </c>
      <c r="Q48" s="27">
        <f t="shared" si="12"/>
        <v>-31728.822088507353</v>
      </c>
      <c r="R48" s="27">
        <f t="shared" si="13"/>
        <v>1.084104696536278</v>
      </c>
    </row>
    <row r="49" spans="5:18" ht="13.5">
      <c r="E49" s="47">
        <f t="shared" si="1"/>
        <v>0.08</v>
      </c>
      <c r="F49" s="47">
        <f t="shared" si="2"/>
        <v>13.660369509343065</v>
      </c>
      <c r="G49" s="47">
        <f t="shared" si="3"/>
        <v>314745.5283336541</v>
      </c>
      <c r="H49" s="47">
        <f t="shared" si="4"/>
        <v>4.843248705010118</v>
      </c>
      <c r="I49" s="27">
        <f t="shared" si="5"/>
        <v>166274.3303840893</v>
      </c>
      <c r="J49" s="27">
        <f t="shared" si="6"/>
        <v>166274.3303840893</v>
      </c>
      <c r="K49" s="27">
        <f t="shared" si="7"/>
        <v>3.0703201010899606</v>
      </c>
      <c r="L49" s="27">
        <f t="shared" si="0"/>
        <v>275.3498179344839</v>
      </c>
      <c r="M49" s="27">
        <f t="shared" si="8"/>
        <v>12.900356042761043</v>
      </c>
      <c r="N49" s="27">
        <f t="shared" si="9"/>
        <v>3.6007275861460717</v>
      </c>
      <c r="O49" s="27">
        <f t="shared" si="10"/>
        <v>16.501083628907114</v>
      </c>
      <c r="P49" s="27">
        <f t="shared" si="11"/>
        <v>-0.31233858901214223</v>
      </c>
      <c r="Q49" s="27">
        <f t="shared" si="12"/>
        <v>-28416.88550131417</v>
      </c>
      <c r="R49" s="27">
        <f t="shared" si="13"/>
        <v>0.9578902149945446</v>
      </c>
    </row>
    <row r="50" spans="5:18" ht="13.5">
      <c r="E50" s="47">
        <f t="shared" si="1"/>
        <v>0.09</v>
      </c>
      <c r="F50" s="47">
        <f t="shared" si="2"/>
        <v>14.618259724337609</v>
      </c>
      <c r="G50" s="47">
        <f t="shared" si="3"/>
        <v>286328.6428323399</v>
      </c>
      <c r="H50" s="47">
        <f t="shared" si="4"/>
        <v>4.530910115997975</v>
      </c>
      <c r="I50" s="27">
        <f t="shared" si="5"/>
        <v>151262.20731010078</v>
      </c>
      <c r="J50" s="27">
        <f t="shared" si="6"/>
        <v>151262.20731010078</v>
      </c>
      <c r="K50" s="27">
        <f t="shared" si="7"/>
        <v>2.872316755278287</v>
      </c>
      <c r="L50" s="27">
        <f t="shared" si="0"/>
        <v>271.5270297213245</v>
      </c>
      <c r="M50" s="27">
        <f t="shared" si="8"/>
        <v>11.735643894079722</v>
      </c>
      <c r="N50" s="27">
        <f t="shared" si="9"/>
        <v>2.768790337087987</v>
      </c>
      <c r="O50" s="27">
        <f t="shared" si="10"/>
        <v>14.504434231167709</v>
      </c>
      <c r="P50" s="27">
        <f t="shared" si="11"/>
        <v>-0.2881393651336623</v>
      </c>
      <c r="Q50" s="27">
        <f t="shared" si="12"/>
        <v>-25492.35622741332</v>
      </c>
      <c r="R50" s="27">
        <f t="shared" si="13"/>
        <v>0.8442806235438964</v>
      </c>
    </row>
    <row r="51" spans="5:18" ht="13.5">
      <c r="E51" s="47">
        <f t="shared" si="1"/>
        <v>0.09999999999999999</v>
      </c>
      <c r="F51" s="47">
        <f t="shared" si="2"/>
        <v>15.462540347881506</v>
      </c>
      <c r="G51" s="47">
        <f t="shared" si="3"/>
        <v>260836.2866049266</v>
      </c>
      <c r="H51" s="47">
        <f t="shared" si="4"/>
        <v>4.242770750864313</v>
      </c>
      <c r="I51" s="27">
        <f t="shared" si="5"/>
        <v>137795.05978915983</v>
      </c>
      <c r="J51" s="27">
        <f t="shared" si="6"/>
        <v>137795.05978915983</v>
      </c>
      <c r="K51" s="27">
        <f t="shared" si="7"/>
        <v>2.689654220568884</v>
      </c>
      <c r="L51" s="27">
        <f t="shared" si="0"/>
        <v>267.8135930196843</v>
      </c>
      <c r="M51" s="27">
        <f t="shared" si="8"/>
        <v>10.690798321710183</v>
      </c>
      <c r="N51" s="27">
        <f t="shared" si="9"/>
        <v>2.0224720711097475</v>
      </c>
      <c r="O51" s="27">
        <f t="shared" si="10"/>
        <v>12.71327039281993</v>
      </c>
      <c r="P51" s="27">
        <f t="shared" si="11"/>
        <v>-0.26612535983624525</v>
      </c>
      <c r="Q51" s="27">
        <f t="shared" si="12"/>
        <v>-22905.12888628812</v>
      </c>
      <c r="R51" s="27">
        <f t="shared" si="13"/>
        <v>0.7418862077230531</v>
      </c>
    </row>
    <row r="52" spans="5:18" ht="13.5">
      <c r="E52" s="47">
        <f t="shared" si="1"/>
        <v>0.10999999999999999</v>
      </c>
      <c r="F52" s="47">
        <f t="shared" si="2"/>
        <v>16.20442655560456</v>
      </c>
      <c r="G52" s="47">
        <f t="shared" si="3"/>
        <v>237931.15771863848</v>
      </c>
      <c r="H52" s="47">
        <f t="shared" si="4"/>
        <v>3.9766453910280677</v>
      </c>
      <c r="I52" s="27">
        <f t="shared" si="5"/>
        <v>125694.69735321926</v>
      </c>
      <c r="J52" s="27">
        <f t="shared" si="6"/>
        <v>125694.69735321926</v>
      </c>
      <c r="K52" s="27">
        <f t="shared" si="7"/>
        <v>2.5209472035474825</v>
      </c>
      <c r="L52" s="27">
        <f t="shared" si="0"/>
        <v>264.20474981323656</v>
      </c>
      <c r="M52" s="27">
        <f t="shared" si="8"/>
        <v>9.751994458783779</v>
      </c>
      <c r="N52" s="27">
        <f t="shared" si="9"/>
        <v>1.3518978833051714</v>
      </c>
      <c r="O52" s="27">
        <f t="shared" si="10"/>
        <v>11.103892342088951</v>
      </c>
      <c r="P52" s="27">
        <f t="shared" si="11"/>
        <v>-0.24607164117166347</v>
      </c>
      <c r="Q52" s="27">
        <f t="shared" si="12"/>
        <v>-20612.1860493043</v>
      </c>
      <c r="R52" s="27">
        <f t="shared" si="13"/>
        <v>0.6494834857903863</v>
      </c>
    </row>
    <row r="53" spans="5:18" ht="13.5">
      <c r="E53" s="47">
        <f t="shared" si="1"/>
        <v>0.11999999999999998</v>
      </c>
      <c r="F53" s="47">
        <f t="shared" si="2"/>
        <v>16.853910041394947</v>
      </c>
      <c r="G53" s="47">
        <f t="shared" si="3"/>
        <v>217318.9716693342</v>
      </c>
      <c r="H53" s="47">
        <f t="shared" si="4"/>
        <v>3.730573749856404</v>
      </c>
      <c r="I53" s="27">
        <f t="shared" si="5"/>
        <v>114805.65485833379</v>
      </c>
      <c r="J53" s="27">
        <f t="shared" si="6"/>
        <v>114805.65485833379</v>
      </c>
      <c r="K53" s="27">
        <f t="shared" si="7"/>
        <v>2.364953003741884</v>
      </c>
      <c r="L53" s="27">
        <f t="shared" si="0"/>
        <v>260.6960197365716</v>
      </c>
      <c r="M53" s="27">
        <f t="shared" si="8"/>
        <v>8.907170577525081</v>
      </c>
      <c r="N53" s="27">
        <f t="shared" si="9"/>
        <v>0.7484522538346717</v>
      </c>
      <c r="O53" s="27">
        <f t="shared" si="10"/>
        <v>9.655622831359752</v>
      </c>
      <c r="P53" s="27">
        <f t="shared" si="11"/>
        <v>-0.22777922441433535</v>
      </c>
      <c r="Q53" s="27">
        <f t="shared" si="12"/>
        <v>-18576.511333403905</v>
      </c>
      <c r="R53" s="27">
        <f t="shared" si="13"/>
        <v>0.5659939693728394</v>
      </c>
    </row>
    <row r="54" spans="5:18" ht="13.5">
      <c r="E54" s="47">
        <f t="shared" si="1"/>
        <v>0.12999999999999998</v>
      </c>
      <c r="F54" s="47">
        <f t="shared" si="2"/>
        <v>17.419904010767787</v>
      </c>
      <c r="G54" s="47">
        <f t="shared" si="3"/>
        <v>198742.4603359303</v>
      </c>
      <c r="H54" s="47">
        <f t="shared" si="4"/>
        <v>3.5027945254420687</v>
      </c>
      <c r="I54" s="27">
        <f t="shared" si="5"/>
        <v>104992.02224157483</v>
      </c>
      <c r="J54" s="27">
        <f t="shared" si="6"/>
        <v>104992.02224157483</v>
      </c>
      <c r="K54" s="27">
        <f t="shared" si="7"/>
        <v>2.22055506468776</v>
      </c>
      <c r="L54" s="27">
        <f t="shared" si="0"/>
        <v>257.2831798037253</v>
      </c>
      <c r="M54" s="27">
        <f t="shared" si="8"/>
        <v>8.145782126664376</v>
      </c>
      <c r="N54" s="27">
        <f t="shared" si="9"/>
        <v>0.20460336036273757</v>
      </c>
      <c r="O54" s="27">
        <f t="shared" si="10"/>
        <v>8.350385487027113</v>
      </c>
      <c r="P54" s="27">
        <f t="shared" si="11"/>
        <v>-0.2110717623250402</v>
      </c>
      <c r="Q54" s="27">
        <f t="shared" si="12"/>
        <v>-16766.181820292495</v>
      </c>
      <c r="R54" s="27">
        <f t="shared" si="13"/>
        <v>0.49046577939279096</v>
      </c>
    </row>
    <row r="55" spans="5:18" ht="13.5">
      <c r="E55" s="47">
        <f t="shared" si="1"/>
        <v>0.13999999999999999</v>
      </c>
      <c r="F55" s="47">
        <f t="shared" si="2"/>
        <v>17.91036979016058</v>
      </c>
      <c r="G55" s="47">
        <f t="shared" si="3"/>
        <v>181976.2785156378</v>
      </c>
      <c r="H55" s="47">
        <f t="shared" si="4"/>
        <v>3.2917227631170283</v>
      </c>
      <c r="I55" s="27">
        <f t="shared" si="5"/>
        <v>96134.75373635952</v>
      </c>
      <c r="J55" s="27">
        <f t="shared" si="6"/>
        <v>101299.99999999999</v>
      </c>
      <c r="K55" s="27">
        <f t="shared" si="7"/>
        <v>2.166232937968606</v>
      </c>
      <c r="L55" s="27">
        <f t="shared" si="0"/>
        <v>244.209915405786</v>
      </c>
      <c r="M55" s="27">
        <f t="shared" si="8"/>
        <v>7.159458812516454</v>
      </c>
      <c r="N55" s="27">
        <f t="shared" si="9"/>
        <v>0</v>
      </c>
      <c r="O55" s="27">
        <f t="shared" si="10"/>
        <v>7.159458812516454</v>
      </c>
      <c r="P55" s="27">
        <f t="shared" si="11"/>
        <v>-0.1954454852394806</v>
      </c>
      <c r="Q55" s="27">
        <f t="shared" si="12"/>
        <v>-15126.735288010315</v>
      </c>
      <c r="R55" s="27">
        <f t="shared" si="13"/>
        <v>0.4212993169551759</v>
      </c>
    </row>
    <row r="56" spans="5:18" ht="13.5">
      <c r="E56" s="47">
        <f t="shared" si="1"/>
        <v>0.15</v>
      </c>
      <c r="F56" s="47">
        <f t="shared" si="2"/>
        <v>18.331669107115754</v>
      </c>
      <c r="G56" s="47">
        <f t="shared" si="3"/>
        <v>166849.54322762747</v>
      </c>
      <c r="H56" s="47">
        <f t="shared" si="4"/>
        <v>3.096277277877548</v>
      </c>
      <c r="I56" s="27">
        <f t="shared" si="5"/>
        <v>88143.57497608497</v>
      </c>
      <c r="J56" s="27">
        <f t="shared" si="6"/>
        <v>101299.99999999999</v>
      </c>
      <c r="K56" s="27">
        <f t="shared" si="7"/>
        <v>2.167918768316004</v>
      </c>
      <c r="L56" s="27">
        <f t="shared" si="0"/>
        <v>223.87968889120333</v>
      </c>
      <c r="M56" s="27">
        <f t="shared" si="8"/>
        <v>6.02172402841976</v>
      </c>
      <c r="N56" s="27">
        <f t="shared" si="9"/>
        <v>0</v>
      </c>
      <c r="O56" s="27">
        <f t="shared" si="10"/>
        <v>6.02172402841976</v>
      </c>
      <c r="P56" s="27">
        <f t="shared" si="11"/>
        <v>-0.17931428730741417</v>
      </c>
      <c r="Q56" s="27">
        <f t="shared" si="12"/>
        <v>-13527.829049184387</v>
      </c>
      <c r="R56" s="27">
        <f t="shared" si="13"/>
        <v>0.3549615232470994</v>
      </c>
    </row>
    <row r="57" spans="5:18" ht="13.5">
      <c r="E57" s="47">
        <f t="shared" si="1"/>
        <v>0.16</v>
      </c>
      <c r="F57" s="47">
        <f t="shared" si="2"/>
        <v>18.686630630362853</v>
      </c>
      <c r="G57" s="47">
        <f t="shared" si="3"/>
        <v>153321.71417844307</v>
      </c>
      <c r="H57" s="47">
        <f t="shared" si="4"/>
        <v>2.9169629905701338</v>
      </c>
      <c r="I57" s="27">
        <f t="shared" si="5"/>
        <v>80997.06926204951</v>
      </c>
      <c r="J57" s="27">
        <f t="shared" si="6"/>
        <v>101299.99999999999</v>
      </c>
      <c r="K57" s="27">
        <f t="shared" si="7"/>
        <v>2.1695198018606523</v>
      </c>
      <c r="L57" s="27">
        <f t="shared" si="0"/>
        <v>202.70227381235762</v>
      </c>
      <c r="M57" s="27">
        <f t="shared" si="8"/>
        <v>4.940026888648413</v>
      </c>
      <c r="N57" s="27">
        <f t="shared" si="9"/>
        <v>0</v>
      </c>
      <c r="O57" s="27">
        <f t="shared" si="10"/>
        <v>4.940026888648413</v>
      </c>
      <c r="P57" s="27">
        <f t="shared" si="11"/>
        <v>-0.16247233921744814</v>
      </c>
      <c r="Q57" s="27">
        <f t="shared" si="12"/>
        <v>-11955.843351562185</v>
      </c>
      <c r="R57" s="27">
        <f t="shared" si="13"/>
        <v>0.29166133872852873</v>
      </c>
    </row>
    <row r="58" spans="5:18" ht="13.5">
      <c r="E58" s="47">
        <f t="shared" si="1"/>
        <v>0.17</v>
      </c>
      <c r="F58" s="47">
        <f t="shared" si="2"/>
        <v>18.97829196909138</v>
      </c>
      <c r="G58" s="47">
        <f t="shared" si="3"/>
        <v>141365.87082688088</v>
      </c>
      <c r="H58" s="47">
        <f t="shared" si="4"/>
        <v>2.7544906513526857</v>
      </c>
      <c r="I58" s="27">
        <f t="shared" si="5"/>
        <v>74681.01496261975</v>
      </c>
      <c r="J58" s="27">
        <f t="shared" si="6"/>
        <v>101299.99999999999</v>
      </c>
      <c r="K58" s="27">
        <f t="shared" si="7"/>
        <v>2.170996227698921</v>
      </c>
      <c r="L58" s="27">
        <f t="shared" si="0"/>
        <v>180.63639367054066</v>
      </c>
      <c r="M58" s="27">
        <f t="shared" si="8"/>
        <v>3.925708340803926</v>
      </c>
      <c r="N58" s="27">
        <f t="shared" si="9"/>
        <v>0</v>
      </c>
      <c r="O58" s="27">
        <f t="shared" si="10"/>
        <v>3.925708340803926</v>
      </c>
      <c r="P58" s="27">
        <f t="shared" si="11"/>
        <v>-0.14488436359301074</v>
      </c>
      <c r="Q58" s="27">
        <f t="shared" si="12"/>
        <v>-10410.050186902115</v>
      </c>
      <c r="R58" s="27">
        <f t="shared" si="13"/>
        <v>0.2321095043532873</v>
      </c>
    </row>
    <row r="59" spans="5:18" ht="13.5">
      <c r="E59" s="47">
        <f t="shared" si="1"/>
        <v>0.18000000000000002</v>
      </c>
      <c r="F59" s="47">
        <f t="shared" si="2"/>
        <v>19.210401473444666</v>
      </c>
      <c r="G59" s="47">
        <f t="shared" si="3"/>
        <v>130955.82063997877</v>
      </c>
      <c r="H59" s="47">
        <f t="shared" si="4"/>
        <v>2.609606287759675</v>
      </c>
      <c r="I59" s="27">
        <f t="shared" si="5"/>
        <v>69181.5750396576</v>
      </c>
      <c r="J59" s="27">
        <f t="shared" si="6"/>
        <v>101299.99999999999</v>
      </c>
      <c r="K59" s="27">
        <f t="shared" si="7"/>
        <v>2.1723067954927266</v>
      </c>
      <c r="L59" s="27">
        <f t="shared" si="0"/>
        <v>157.63346073481796</v>
      </c>
      <c r="M59" s="27">
        <f t="shared" si="8"/>
        <v>2.9913445222072896</v>
      </c>
      <c r="N59" s="27">
        <f t="shared" si="9"/>
        <v>0</v>
      </c>
      <c r="O59" s="27">
        <f t="shared" si="10"/>
        <v>2.9913445222072896</v>
      </c>
      <c r="P59" s="27">
        <f t="shared" si="11"/>
        <v>-0.12651055633590125</v>
      </c>
      <c r="Q59" s="27">
        <f t="shared" si="12"/>
        <v>-8888.011698628889</v>
      </c>
      <c r="R59" s="27">
        <f t="shared" si="13"/>
        <v>0.1770923234005031</v>
      </c>
    </row>
    <row r="60" spans="5:18" ht="13.5">
      <c r="E60" s="47">
        <f t="shared" si="1"/>
        <v>0.19000000000000003</v>
      </c>
      <c r="F60" s="47">
        <f t="shared" si="2"/>
        <v>19.38749379684517</v>
      </c>
      <c r="G60" s="47">
        <f t="shared" si="3"/>
        <v>122067.80894134988</v>
      </c>
      <c r="H60" s="47">
        <f t="shared" si="4"/>
        <v>2.4830957314237736</v>
      </c>
      <c r="I60" s="27">
        <f t="shared" si="5"/>
        <v>64486.200330254775</v>
      </c>
      <c r="J60" s="27">
        <f t="shared" si="6"/>
        <v>101299.99999999999</v>
      </c>
      <c r="K60" s="27">
        <f t="shared" si="7"/>
        <v>2.1734129292249036</v>
      </c>
      <c r="L60" s="27">
        <f t="shared" si="0"/>
        <v>133.62493841630035</v>
      </c>
      <c r="M60" s="27">
        <f t="shared" si="8"/>
        <v>2.150630179683441</v>
      </c>
      <c r="N60" s="27">
        <f t="shared" si="9"/>
        <v>0</v>
      </c>
      <c r="O60" s="27">
        <f t="shared" si="10"/>
        <v>2.150630179683441</v>
      </c>
      <c r="P60" s="27">
        <f t="shared" si="11"/>
        <v>-0.10729684669006338</v>
      </c>
      <c r="Q60" s="27">
        <f t="shared" si="12"/>
        <v>-7384.526960612532</v>
      </c>
      <c r="R60" s="27">
        <f t="shared" si="13"/>
        <v>0.1274639041359309</v>
      </c>
    </row>
    <row r="61" spans="5:18" ht="13.5">
      <c r="E61" s="47">
        <f t="shared" si="1"/>
        <v>0.20000000000000004</v>
      </c>
      <c r="F61" s="47">
        <f t="shared" si="2"/>
        <v>19.5149577009811</v>
      </c>
      <c r="G61" s="47">
        <f t="shared" si="3"/>
        <v>114683.28198073735</v>
      </c>
      <c r="H61" s="47">
        <f t="shared" si="4"/>
        <v>2.3757988847337104</v>
      </c>
      <c r="I61" s="27">
        <f t="shared" si="5"/>
        <v>60585.08922605671</v>
      </c>
      <c r="J61" s="27">
        <f t="shared" si="6"/>
        <v>101299.99999999999</v>
      </c>
      <c r="K61" s="27">
        <f t="shared" si="7"/>
        <v>2.1742843509249425</v>
      </c>
      <c r="L61" s="27">
        <f t="shared" si="0"/>
        <v>108.48929395458357</v>
      </c>
      <c r="M61" s="27">
        <f t="shared" si="8"/>
        <v>1.4182035211267117</v>
      </c>
      <c r="N61" s="27">
        <f t="shared" si="9"/>
        <v>0</v>
      </c>
      <c r="O61" s="27">
        <f t="shared" si="10"/>
        <v>1.4182035211267117</v>
      </c>
      <c r="P61" s="27">
        <f t="shared" si="11"/>
        <v>-0.08714860053198173</v>
      </c>
      <c r="Q61" s="27">
        <f t="shared" si="12"/>
        <v>-5889.506317458588</v>
      </c>
      <c r="R61" s="27">
        <f t="shared" si="13"/>
        <v>0.08413457554631157</v>
      </c>
    </row>
    <row r="62" spans="5:18" ht="13.5">
      <c r="E62" s="47">
        <f t="shared" si="1"/>
        <v>0.21000000000000005</v>
      </c>
      <c r="F62" s="47">
        <f t="shared" si="2"/>
        <v>19.59909227652741</v>
      </c>
      <c r="G62" s="47">
        <f t="shared" si="3"/>
        <v>108793.77566327876</v>
      </c>
      <c r="H62" s="47">
        <f t="shared" si="4"/>
        <v>2.2886502842017284</v>
      </c>
      <c r="I62" s="27">
        <f t="shared" si="5"/>
        <v>57473.7702998981</v>
      </c>
      <c r="J62" s="27">
        <f t="shared" si="6"/>
        <v>101299.99999999999</v>
      </c>
      <c r="K62" s="27">
        <f t="shared" si="7"/>
        <v>2.174905707486272</v>
      </c>
      <c r="L62" s="27">
        <f t="shared" si="0"/>
        <v>81.95360360181236</v>
      </c>
      <c r="M62" s="27">
        <f t="shared" si="8"/>
        <v>0.8095151782501749</v>
      </c>
      <c r="N62" s="27">
        <f t="shared" si="9"/>
        <v>0</v>
      </c>
      <c r="O62" s="27">
        <f t="shared" si="10"/>
        <v>0.8095151782501749</v>
      </c>
      <c r="P62" s="27">
        <f t="shared" si="11"/>
        <v>-0.06585150155473847</v>
      </c>
      <c r="Q62" s="27">
        <f t="shared" si="12"/>
        <v>-4382.463739159332</v>
      </c>
      <c r="R62" s="27">
        <f t="shared" si="13"/>
        <v>0.04806156135408154</v>
      </c>
    </row>
    <row r="63" spans="5:18" ht="13.5">
      <c r="E63" s="47">
        <f t="shared" si="1"/>
        <v>0.22000000000000006</v>
      </c>
      <c r="F63" s="47">
        <f t="shared" si="2"/>
        <v>19.647153837881493</v>
      </c>
      <c r="G63" s="47">
        <f t="shared" si="3"/>
        <v>104411.31192411944</v>
      </c>
      <c r="H63" s="47">
        <f t="shared" si="4"/>
        <v>2.22279878264699</v>
      </c>
      <c r="I63" s="27">
        <f t="shared" si="5"/>
        <v>55158.59452116932</v>
      </c>
      <c r="J63" s="27">
        <f t="shared" si="6"/>
        <v>101299.99999999999</v>
      </c>
      <c r="K63" s="27">
        <f t="shared" si="7"/>
        <v>2.175283110543862</v>
      </c>
      <c r="L63" s="27">
        <f t="shared" si="0"/>
        <v>53.195535583715404</v>
      </c>
      <c r="M63" s="27">
        <f t="shared" si="8"/>
        <v>0.3411258360434994</v>
      </c>
      <c r="N63" s="27">
        <f t="shared" si="9"/>
        <v>0</v>
      </c>
      <c r="O63" s="27">
        <f t="shared" si="10"/>
        <v>0.3411258360434994</v>
      </c>
      <c r="P63" s="27">
        <f t="shared" si="11"/>
        <v>-0.04275118607859608</v>
      </c>
      <c r="Q63" s="27">
        <f t="shared" si="12"/>
        <v>-2811.406252098064</v>
      </c>
      <c r="R63" s="27">
        <f t="shared" si="13"/>
        <v>0.020264797037316904</v>
      </c>
    </row>
    <row r="64" spans="5:18" ht="13.5">
      <c r="E64" s="47">
        <f t="shared" si="1"/>
        <v>0.23000000000000007</v>
      </c>
      <c r="F64" s="47">
        <f t="shared" si="2"/>
        <v>19.66741863491881</v>
      </c>
      <c r="G64" s="47">
        <f t="shared" si="3"/>
        <v>101599.90567202137</v>
      </c>
      <c r="H64" s="47">
        <f t="shared" si="4"/>
        <v>2.180047596568394</v>
      </c>
      <c r="I64" s="27">
        <f t="shared" si="5"/>
        <v>53673.37980031171</v>
      </c>
      <c r="J64" s="27">
        <f t="shared" si="6"/>
        <v>101299.99999999999</v>
      </c>
      <c r="K64" s="27">
        <f t="shared" si="7"/>
        <v>2.1754491341055315</v>
      </c>
      <c r="L64" s="27">
        <f t="shared" si="0"/>
        <v>16.596004265807863</v>
      </c>
      <c r="M64" s="27">
        <f t="shared" si="8"/>
        <v>0.033205074753295774</v>
      </c>
      <c r="N64" s="27">
        <f t="shared" si="9"/>
        <v>0</v>
      </c>
      <c r="O64" s="27">
        <f t="shared" si="10"/>
        <v>0.033205074753295774</v>
      </c>
      <c r="P64" s="27">
        <f t="shared" si="11"/>
        <v>-0.013338582075328002</v>
      </c>
      <c r="Q64" s="27">
        <f t="shared" si="12"/>
        <v>-870.2920779798917</v>
      </c>
      <c r="R64" s="27">
        <f t="shared" si="13"/>
        <v>0.0019733202986155934</v>
      </c>
    </row>
    <row r="65" spans="5:18" ht="13.5">
      <c r="E65" s="47">
        <f t="shared" si="1"/>
        <v>0.24000000000000007</v>
      </c>
      <c r="F65" s="47">
        <f t="shared" si="2"/>
        <v>19.669391955217424</v>
      </c>
      <c r="G65" s="47">
        <f t="shared" si="3"/>
        <v>100729.61359404148</v>
      </c>
      <c r="H65" s="47">
        <f t="shared" si="4"/>
        <v>2.166709014493066</v>
      </c>
      <c r="I65" s="27">
        <f t="shared" si="5"/>
        <v>53213.6203455204</v>
      </c>
      <c r="J65" s="27">
        <f t="shared" si="6"/>
        <v>101299.99999999999</v>
      </c>
      <c r="K65" s="27">
        <f t="shared" si="7"/>
        <v>2.1754655829052068</v>
      </c>
      <c r="L65" s="27">
        <f t="shared" si="0"/>
        <v>0</v>
      </c>
      <c r="M65" s="27">
        <f t="shared" si="8"/>
        <v>0</v>
      </c>
      <c r="N65" s="27">
        <f t="shared" si="9"/>
        <v>0</v>
      </c>
      <c r="O65" s="27">
        <f t="shared" si="10"/>
        <v>0</v>
      </c>
      <c r="P65" s="27">
        <f t="shared" si="11"/>
        <v>0</v>
      </c>
      <c r="Q65" s="27">
        <f t="shared" si="12"/>
        <v>0</v>
      </c>
      <c r="R65" s="27">
        <f t="shared" si="13"/>
        <v>0</v>
      </c>
    </row>
    <row r="66" spans="5:18" ht="13.5">
      <c r="E66" s="47">
        <f t="shared" si="1"/>
        <v>0.25000000000000006</v>
      </c>
      <c r="F66" s="47">
        <f t="shared" si="2"/>
        <v>19.669391955217424</v>
      </c>
      <c r="G66" s="47">
        <f t="shared" si="3"/>
        <v>100729.61359404148</v>
      </c>
      <c r="H66" s="47">
        <f t="shared" si="4"/>
        <v>2.166709014493066</v>
      </c>
      <c r="I66" s="27">
        <f t="shared" si="5"/>
        <v>53213.6203455204</v>
      </c>
      <c r="J66" s="27">
        <f t="shared" si="6"/>
        <v>101299.99999999999</v>
      </c>
      <c r="K66" s="27">
        <f t="shared" si="7"/>
        <v>2.1754655829052068</v>
      </c>
      <c r="L66" s="27">
        <f t="shared" si="0"/>
        <v>0</v>
      </c>
      <c r="M66" s="27">
        <f t="shared" si="8"/>
        <v>0</v>
      </c>
      <c r="N66" s="27">
        <f t="shared" si="9"/>
        <v>0</v>
      </c>
      <c r="O66" s="27">
        <f t="shared" si="10"/>
        <v>0</v>
      </c>
      <c r="P66" s="27">
        <f t="shared" si="11"/>
        <v>0</v>
      </c>
      <c r="Q66" s="27">
        <f t="shared" si="12"/>
        <v>0</v>
      </c>
      <c r="R66" s="27">
        <f t="shared" si="13"/>
        <v>0</v>
      </c>
    </row>
    <row r="67" spans="5:18" ht="13.5">
      <c r="E67" s="47">
        <f t="shared" si="1"/>
        <v>0.26000000000000006</v>
      </c>
      <c r="F67" s="47">
        <f t="shared" si="2"/>
        <v>19.669391955217424</v>
      </c>
      <c r="G67" s="47">
        <f t="shared" si="3"/>
        <v>100729.61359404148</v>
      </c>
      <c r="H67" s="47">
        <f t="shared" si="4"/>
        <v>2.166709014493066</v>
      </c>
      <c r="I67" s="27">
        <f t="shared" si="5"/>
        <v>53213.6203455204</v>
      </c>
      <c r="J67" s="27">
        <f t="shared" si="6"/>
        <v>101299.99999999999</v>
      </c>
      <c r="K67" s="27">
        <f t="shared" si="7"/>
        <v>2.1754655829052068</v>
      </c>
      <c r="L67" s="27">
        <f>IF(G67&gt;$C$6,SQRT(2*$C$9/($C$9-1)*G67/H67*(1-(J67/G67)^(($C$9-1)/$C$9))),0)</f>
        <v>0</v>
      </c>
      <c r="M67" s="27">
        <f t="shared" si="8"/>
        <v>0</v>
      </c>
      <c r="N67" s="27">
        <f t="shared" si="9"/>
        <v>0</v>
      </c>
      <c r="O67" s="27">
        <f t="shared" si="10"/>
        <v>0</v>
      </c>
      <c r="P67" s="27">
        <f t="shared" si="11"/>
        <v>0</v>
      </c>
      <c r="Q67" s="27">
        <f t="shared" si="12"/>
        <v>0</v>
      </c>
      <c r="R67" s="27">
        <f t="shared" si="13"/>
        <v>0</v>
      </c>
    </row>
    <row r="68" spans="5:18" ht="13.5">
      <c r="E68" s="47">
        <f t="shared" si="1"/>
        <v>0.2700000000000001</v>
      </c>
      <c r="F68" s="47">
        <f t="shared" si="2"/>
        <v>19.669391955217424</v>
      </c>
      <c r="G68" s="47">
        <f t="shared" si="3"/>
        <v>100729.61359404148</v>
      </c>
      <c r="H68" s="47">
        <f t="shared" si="4"/>
        <v>2.166709014493066</v>
      </c>
      <c r="I68" s="27">
        <f t="shared" si="5"/>
        <v>53213.6203455204</v>
      </c>
      <c r="J68" s="27">
        <f t="shared" si="6"/>
        <v>101299.99999999999</v>
      </c>
      <c r="K68" s="27">
        <f t="shared" si="7"/>
        <v>2.1754655829052068</v>
      </c>
      <c r="L68" s="27">
        <f t="shared" si="0"/>
        <v>0</v>
      </c>
      <c r="M68" s="27">
        <f t="shared" si="8"/>
        <v>0</v>
      </c>
      <c r="N68" s="27">
        <f t="shared" si="9"/>
        <v>0</v>
      </c>
      <c r="O68" s="27">
        <f t="shared" si="10"/>
        <v>0</v>
      </c>
      <c r="P68" s="27">
        <f t="shared" si="11"/>
        <v>0</v>
      </c>
      <c r="Q68" s="27">
        <f t="shared" si="12"/>
        <v>0</v>
      </c>
      <c r="R68" s="27">
        <f t="shared" si="13"/>
        <v>0</v>
      </c>
    </row>
    <row r="69" spans="5:18" ht="13.5">
      <c r="E69" s="47">
        <f t="shared" si="1"/>
        <v>0.2800000000000001</v>
      </c>
      <c r="F69" s="47">
        <f t="shared" si="2"/>
        <v>19.669391955217424</v>
      </c>
      <c r="G69" s="47">
        <f t="shared" si="3"/>
        <v>100729.61359404148</v>
      </c>
      <c r="H69" s="47">
        <f t="shared" si="4"/>
        <v>2.166709014493066</v>
      </c>
      <c r="I69" s="27">
        <f t="shared" si="5"/>
        <v>53213.6203455204</v>
      </c>
      <c r="J69" s="27">
        <f t="shared" si="6"/>
        <v>101299.99999999999</v>
      </c>
      <c r="K69" s="27">
        <f t="shared" si="7"/>
        <v>2.1754655829052068</v>
      </c>
      <c r="L69" s="27">
        <f t="shared" si="0"/>
        <v>0</v>
      </c>
      <c r="M69" s="27">
        <f t="shared" si="8"/>
        <v>0</v>
      </c>
      <c r="N69" s="27">
        <f t="shared" si="9"/>
        <v>0</v>
      </c>
      <c r="O69" s="27">
        <f t="shared" si="10"/>
        <v>0</v>
      </c>
      <c r="P69" s="27">
        <f t="shared" si="11"/>
        <v>0</v>
      </c>
      <c r="Q69" s="27">
        <f t="shared" si="12"/>
        <v>0</v>
      </c>
      <c r="R69" s="27">
        <f t="shared" si="13"/>
        <v>0</v>
      </c>
    </row>
    <row r="70" spans="5:18" ht="13.5">
      <c r="E70" s="47">
        <f t="shared" si="1"/>
        <v>0.2900000000000001</v>
      </c>
      <c r="F70" s="47">
        <f t="shared" si="2"/>
        <v>19.669391955217424</v>
      </c>
      <c r="G70" s="47">
        <f t="shared" si="3"/>
        <v>100729.61359404148</v>
      </c>
      <c r="H70" s="47">
        <f t="shared" si="4"/>
        <v>2.166709014493066</v>
      </c>
      <c r="I70" s="27">
        <f t="shared" si="5"/>
        <v>53213.6203455204</v>
      </c>
      <c r="J70" s="27">
        <f t="shared" si="6"/>
        <v>101299.99999999999</v>
      </c>
      <c r="K70" s="27">
        <f t="shared" si="7"/>
        <v>2.1754655829052068</v>
      </c>
      <c r="L70" s="27">
        <f t="shared" si="0"/>
        <v>0</v>
      </c>
      <c r="M70" s="27">
        <f t="shared" si="8"/>
        <v>0</v>
      </c>
      <c r="N70" s="27">
        <f t="shared" si="9"/>
        <v>0</v>
      </c>
      <c r="O70" s="27">
        <f t="shared" si="10"/>
        <v>0</v>
      </c>
      <c r="P70" s="27">
        <f t="shared" si="11"/>
        <v>0</v>
      </c>
      <c r="Q70" s="27">
        <f t="shared" si="12"/>
        <v>0</v>
      </c>
      <c r="R70" s="27">
        <f t="shared" si="13"/>
        <v>0</v>
      </c>
    </row>
    <row r="71" spans="5:18" ht="13.5">
      <c r="E71" s="47">
        <f t="shared" si="1"/>
        <v>0.3000000000000001</v>
      </c>
      <c r="F71" s="47">
        <f t="shared" si="2"/>
        <v>19.669391955217424</v>
      </c>
      <c r="G71" s="47">
        <f t="shared" si="3"/>
        <v>100729.61359404148</v>
      </c>
      <c r="H71" s="47">
        <f t="shared" si="4"/>
        <v>2.166709014493066</v>
      </c>
      <c r="I71" s="27">
        <f t="shared" si="5"/>
        <v>53213.6203455204</v>
      </c>
      <c r="J71" s="27">
        <f t="shared" si="6"/>
        <v>101299.99999999999</v>
      </c>
      <c r="K71" s="27">
        <f t="shared" si="7"/>
        <v>2.1754655829052068</v>
      </c>
      <c r="L71" s="27">
        <f t="shared" si="0"/>
        <v>0</v>
      </c>
      <c r="M71" s="27">
        <f t="shared" si="8"/>
        <v>0</v>
      </c>
      <c r="N71" s="27">
        <f t="shared" si="9"/>
        <v>0</v>
      </c>
      <c r="O71" s="27">
        <f t="shared" si="10"/>
        <v>0</v>
      </c>
      <c r="P71" s="27">
        <f t="shared" si="11"/>
        <v>0</v>
      </c>
      <c r="Q71" s="27">
        <f t="shared" si="12"/>
        <v>0</v>
      </c>
      <c r="R71" s="27">
        <f t="shared" si="13"/>
        <v>0</v>
      </c>
    </row>
    <row r="72" spans="5:18" ht="13.5">
      <c r="E72" s="47">
        <f t="shared" si="1"/>
        <v>0.3100000000000001</v>
      </c>
      <c r="F72" s="47">
        <f t="shared" si="2"/>
        <v>19.669391955217424</v>
      </c>
      <c r="G72" s="47">
        <f t="shared" si="3"/>
        <v>100729.61359404148</v>
      </c>
      <c r="H72" s="47">
        <f t="shared" si="4"/>
        <v>2.166709014493066</v>
      </c>
      <c r="I72" s="27">
        <f t="shared" si="5"/>
        <v>53213.6203455204</v>
      </c>
      <c r="J72" s="27">
        <f t="shared" si="6"/>
        <v>101299.99999999999</v>
      </c>
      <c r="K72" s="27">
        <f t="shared" si="7"/>
        <v>2.1754655829052068</v>
      </c>
      <c r="L72" s="27">
        <f t="shared" si="0"/>
        <v>0</v>
      </c>
      <c r="M72" s="27">
        <f t="shared" si="8"/>
        <v>0</v>
      </c>
      <c r="N72" s="27">
        <f t="shared" si="9"/>
        <v>0</v>
      </c>
      <c r="O72" s="27">
        <f t="shared" si="10"/>
        <v>0</v>
      </c>
      <c r="P72" s="27">
        <f t="shared" si="11"/>
        <v>0</v>
      </c>
      <c r="Q72" s="27">
        <f t="shared" si="12"/>
        <v>0</v>
      </c>
      <c r="R72" s="27">
        <f t="shared" si="13"/>
        <v>0</v>
      </c>
    </row>
  </sheetData>
  <sheetProtection/>
  <mergeCells count="27">
    <mergeCell ref="F14:N14"/>
    <mergeCell ref="F15:N15"/>
    <mergeCell ref="I36:O36"/>
    <mergeCell ref="F18:N18"/>
    <mergeCell ref="F19:N19"/>
    <mergeCell ref="F20:N20"/>
    <mergeCell ref="F21:N21"/>
    <mergeCell ref="P36:R36"/>
    <mergeCell ref="C2:H2"/>
    <mergeCell ref="F5:N5"/>
    <mergeCell ref="F6:N6"/>
    <mergeCell ref="F7:N7"/>
    <mergeCell ref="F8:N8"/>
    <mergeCell ref="F9:N9"/>
    <mergeCell ref="F22:N22"/>
    <mergeCell ref="F23:N23"/>
    <mergeCell ref="F4:N4"/>
    <mergeCell ref="B5:B12"/>
    <mergeCell ref="B13:B17"/>
    <mergeCell ref="B19:B23"/>
    <mergeCell ref="F36:H36"/>
    <mergeCell ref="F10:N10"/>
    <mergeCell ref="F11:N11"/>
    <mergeCell ref="F12:N12"/>
    <mergeCell ref="F13:N13"/>
    <mergeCell ref="F16:N16"/>
    <mergeCell ref="F17:N17"/>
  </mergeCells>
  <printOptions/>
  <pageMargins left="0.28" right="0.2" top="0.984251968503937" bottom="0.62" header="0.5118110236220472" footer="0.5118110236220472"/>
  <pageSetup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</cp:lastModifiedBy>
  <cp:lastPrinted>2009-11-16T13:20:48Z</cp:lastPrinted>
  <dcterms:created xsi:type="dcterms:W3CDTF">2004-06-21T14:00:50Z</dcterms:created>
  <dcterms:modified xsi:type="dcterms:W3CDTF">2010-06-20T01:16:07Z</dcterms:modified>
  <cp:category/>
  <cp:version/>
  <cp:contentType/>
  <cp:contentStatus/>
</cp:coreProperties>
</file>