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70" windowWidth="24795" windowHeight="12555"/>
  </bookViews>
  <sheets>
    <sheet name="暦元の降交点" sheetId="2" r:id="rId1"/>
  </sheets>
  <definedNames>
    <definedName name="_xlnm.Print_Area" localSheetId="0">暦元の降交点!$A$1:$E$45</definedName>
  </definedNames>
  <calcPr calcId="145621"/>
</workbook>
</file>

<file path=xl/calcChain.xml><?xml version="1.0" encoding="utf-8"?>
<calcChain xmlns="http://schemas.openxmlformats.org/spreadsheetml/2006/main">
  <c r="E20" i="2" l="1"/>
  <c r="D20" i="2"/>
  <c r="E25" i="2"/>
  <c r="D25" i="2"/>
  <c r="E3" i="2"/>
  <c r="E4" i="2" s="1"/>
  <c r="D3" i="2"/>
  <c r="D4" i="2" s="1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4" i="2"/>
  <c r="C23" i="2"/>
  <c r="C22" i="2"/>
  <c r="C21" i="2"/>
  <c r="C17" i="2"/>
  <c r="C16" i="2"/>
  <c r="C15" i="2"/>
  <c r="C14" i="2"/>
  <c r="C11" i="2"/>
  <c r="C10" i="2"/>
  <c r="C9" i="2"/>
  <c r="C8" i="2"/>
  <c r="C7" i="2"/>
  <c r="C6" i="2"/>
  <c r="B26" i="2"/>
  <c r="C3" i="2"/>
  <c r="C4" i="2" s="1"/>
  <c r="C5" i="2" s="1"/>
  <c r="D14" i="2" l="1"/>
  <c r="D5" i="2"/>
  <c r="E14" i="2"/>
  <c r="E5" i="2"/>
  <c r="C18" i="2"/>
  <c r="D17" i="2" l="1"/>
  <c r="D16" i="2"/>
  <c r="D15" i="2"/>
  <c r="D10" i="2"/>
  <c r="D42" i="2" s="1"/>
  <c r="D9" i="2"/>
  <c r="D8" i="2"/>
  <c r="D7" i="2"/>
  <c r="D6" i="2"/>
  <c r="E17" i="2"/>
  <c r="E16" i="2"/>
  <c r="E18" i="2" s="1"/>
  <c r="E15" i="2"/>
  <c r="E10" i="2"/>
  <c r="E42" i="2" s="1"/>
  <c r="E9" i="2"/>
  <c r="E8" i="2"/>
  <c r="E7" i="2"/>
  <c r="E6" i="2"/>
  <c r="D18" i="2"/>
  <c r="C25" i="2"/>
  <c r="E41" i="2" l="1"/>
  <c r="E40" i="2"/>
  <c r="E39" i="2"/>
  <c r="E38" i="2"/>
  <c r="E37" i="2"/>
  <c r="E34" i="2"/>
  <c r="E33" i="2"/>
  <c r="E30" i="2"/>
  <c r="E29" i="2"/>
  <c r="E27" i="2"/>
  <c r="E26" i="2"/>
  <c r="E24" i="2"/>
  <c r="E23" i="2"/>
  <c r="E22" i="2"/>
  <c r="D41" i="2"/>
  <c r="D40" i="2"/>
  <c r="D39" i="2"/>
  <c r="D38" i="2"/>
  <c r="D37" i="2"/>
  <c r="D34" i="2"/>
  <c r="D33" i="2"/>
  <c r="D30" i="2"/>
  <c r="D29" i="2"/>
  <c r="D27" i="2"/>
  <c r="D26" i="2"/>
  <c r="D24" i="2"/>
  <c r="D23" i="2"/>
  <c r="D22" i="2"/>
  <c r="D28" i="2"/>
  <c r="D21" i="2"/>
  <c r="E28" i="2"/>
  <c r="E21" i="2"/>
  <c r="E35" i="2"/>
  <c r="E32" i="2"/>
  <c r="E31" i="2"/>
  <c r="E36" i="2"/>
  <c r="E11" i="2"/>
  <c r="E43" i="2" s="1"/>
  <c r="D35" i="2"/>
  <c r="D32" i="2"/>
  <c r="D31" i="2"/>
  <c r="D36" i="2"/>
  <c r="D11" i="2"/>
  <c r="D43" i="2" s="1"/>
  <c r="C44" i="2"/>
  <c r="C45" i="2" s="1"/>
  <c r="D44" i="2" l="1"/>
  <c r="E44" i="2"/>
</calcChain>
</file>

<file path=xl/sharedStrings.xml><?xml version="1.0" encoding="utf-8"?>
<sst xmlns="http://schemas.openxmlformats.org/spreadsheetml/2006/main" count="48" uniqueCount="48">
  <si>
    <t>k</t>
    <phoneticPr fontId="1"/>
  </si>
  <si>
    <t>year</t>
    <phoneticPr fontId="1"/>
  </si>
  <si>
    <t>T</t>
    <phoneticPr fontId="1"/>
  </si>
  <si>
    <t>k</t>
    <phoneticPr fontId="1"/>
  </si>
  <si>
    <t>D</t>
    <phoneticPr fontId="1"/>
  </si>
  <si>
    <t>M</t>
    <phoneticPr fontId="1"/>
  </si>
  <si>
    <t>M'</t>
    <phoneticPr fontId="1"/>
  </si>
  <si>
    <t>Ω</t>
    <phoneticPr fontId="1"/>
  </si>
  <si>
    <t>V</t>
    <phoneticPr fontId="1"/>
  </si>
  <si>
    <t>P</t>
    <phoneticPr fontId="1"/>
  </si>
  <si>
    <t>sin M'</t>
    <phoneticPr fontId="1"/>
  </si>
  <si>
    <t>sin 2D</t>
    <phoneticPr fontId="1"/>
  </si>
  <si>
    <t>sin(2D-M')</t>
    <phoneticPr fontId="1"/>
  </si>
  <si>
    <t>sin(2D+M')</t>
    <phoneticPr fontId="1"/>
  </si>
  <si>
    <t>sin 2M'</t>
    <phoneticPr fontId="1"/>
  </si>
  <si>
    <t>sin(2D-2M')</t>
    <phoneticPr fontId="1"/>
  </si>
  <si>
    <t>sin 4D</t>
    <phoneticPr fontId="1"/>
  </si>
  <si>
    <t>sin D</t>
    <phoneticPr fontId="1"/>
  </si>
  <si>
    <t>sin Ω</t>
    <phoneticPr fontId="1"/>
  </si>
  <si>
    <t>sin(4D-M')</t>
    <phoneticPr fontId="1"/>
  </si>
  <si>
    <t>sin V</t>
    <phoneticPr fontId="1"/>
  </si>
  <si>
    <t>sin P</t>
    <phoneticPr fontId="1"/>
  </si>
  <si>
    <t>const</t>
    <phoneticPr fontId="1"/>
  </si>
  <si>
    <t>T^2</t>
    <phoneticPr fontId="1"/>
  </si>
  <si>
    <t>T^3</t>
    <phoneticPr fontId="1"/>
  </si>
  <si>
    <t>T^4</t>
    <phoneticPr fontId="1"/>
  </si>
  <si>
    <t>E</t>
    <phoneticPr fontId="1"/>
  </si>
  <si>
    <t>*sin(2D-M)</t>
    <phoneticPr fontId="1"/>
  </si>
  <si>
    <t>*sin(2D-M-M')</t>
    <phoneticPr fontId="1"/>
  </si>
  <si>
    <t>*sin(2D+M)</t>
    <phoneticPr fontId="1"/>
  </si>
  <si>
    <t>*sin(M-M')</t>
    <phoneticPr fontId="1"/>
  </si>
  <si>
    <t>*sin(M+M')</t>
    <phoneticPr fontId="1"/>
  </si>
  <si>
    <t>*sin(2D+M-M')</t>
    <phoneticPr fontId="1"/>
  </si>
  <si>
    <t>*sin(2D-M+M')</t>
    <phoneticPr fontId="1"/>
  </si>
  <si>
    <t>*sin(2D-2M)</t>
    <phoneticPr fontId="1"/>
  </si>
  <si>
    <t>*sin(4D-M)</t>
    <phoneticPr fontId="1"/>
  </si>
  <si>
    <t>*sin M</t>
    <phoneticPr fontId="1"/>
  </si>
  <si>
    <t>Example of Meeus</t>
    <phoneticPr fontId="1"/>
  </si>
  <si>
    <t>授時暦</t>
    <rPh sb="0" eb="1">
      <t>ジュ</t>
    </rPh>
    <rPh sb="1" eb="2">
      <t>ジ</t>
    </rPh>
    <rPh sb="2" eb="3">
      <t>レキ</t>
    </rPh>
    <phoneticPr fontId="1"/>
  </si>
  <si>
    <t>貞享暦</t>
    <rPh sb="0" eb="3">
      <t>ジョウキョウレキ</t>
    </rPh>
    <phoneticPr fontId="1"/>
  </si>
  <si>
    <t>定義文書から算出</t>
    <rPh sb="0" eb="2">
      <t>テイギ</t>
    </rPh>
    <rPh sb="2" eb="4">
      <t>ブンショ</t>
    </rPh>
    <rPh sb="6" eb="8">
      <t>サンシュツ</t>
    </rPh>
    <phoneticPr fontId="1"/>
  </si>
  <si>
    <t>誤差/分</t>
    <rPh sb="0" eb="2">
      <t>ゴサ</t>
    </rPh>
    <rPh sb="3" eb="4">
      <t>フン</t>
    </rPh>
    <phoneticPr fontId="1"/>
  </si>
  <si>
    <t>k(raw)</t>
    <phoneticPr fontId="1"/>
  </si>
  <si>
    <t>ユリウス通日</t>
    <rPh sb="4" eb="5">
      <t>ツウ</t>
    </rPh>
    <rPh sb="5" eb="6">
      <t>ニチ</t>
    </rPh>
    <phoneticPr fontId="1"/>
  </si>
  <si>
    <t>周期項除外</t>
    <rPh sb="0" eb="2">
      <t>シュウキ</t>
    </rPh>
    <rPh sb="2" eb="3">
      <t>コウ</t>
    </rPh>
    <rPh sb="3" eb="5">
      <t>ジョガイ</t>
    </rPh>
    <phoneticPr fontId="1"/>
  </si>
  <si>
    <t>降交点通過の</t>
    <rPh sb="0" eb="3">
      <t>コウコウテン</t>
    </rPh>
    <rPh sb="3" eb="5">
      <t>ツウカ</t>
    </rPh>
    <phoneticPr fontId="1"/>
  </si>
  <si>
    <t>項</t>
    <rPh sb="0" eb="1">
      <t>コウ</t>
    </rPh>
    <phoneticPr fontId="1"/>
  </si>
  <si>
    <t>係数</t>
    <rPh sb="0" eb="2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</si>
</sst>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F400]h:mm:ss\ AM/PM"/>
    <numFmt numFmtId="177" formatCode="0.000000_ "/>
    <numFmt numFmtId="178" formatCode="0.0000_ "/>
    <numFmt numFmtId="179" formatCode="0.000000000000_ "/>
    <numFmt numFmtId="180" formatCode="0.00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9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177" fontId="4" fillId="0" borderId="5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0" fontId="5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4" workbookViewId="0">
      <selection activeCell="R16" sqref="R16"/>
    </sheetView>
  </sheetViews>
  <sheetFormatPr defaultRowHeight="13.5"/>
  <cols>
    <col min="1" max="1" width="14.125" customWidth="1"/>
    <col min="2" max="2" width="17.125" customWidth="1"/>
    <col min="3" max="3" width="16.125" customWidth="1"/>
    <col min="4" max="4" width="15.5" customWidth="1"/>
    <col min="5" max="5" width="15.625" customWidth="1"/>
  </cols>
  <sheetData>
    <row r="1" spans="1:5">
      <c r="A1" s="11" t="s">
        <v>46</v>
      </c>
      <c r="B1" s="12" t="s">
        <v>47</v>
      </c>
      <c r="C1" s="12" t="s">
        <v>37</v>
      </c>
      <c r="D1" s="12" t="s">
        <v>38</v>
      </c>
      <c r="E1" s="13" t="s">
        <v>39</v>
      </c>
    </row>
    <row r="2" spans="1:5">
      <c r="A2" s="1" t="s">
        <v>1</v>
      </c>
      <c r="B2" s="2"/>
      <c r="C2" s="3">
        <v>1987.37</v>
      </c>
      <c r="D2" s="3">
        <v>1280.9000000000001</v>
      </c>
      <c r="E2" s="4">
        <v>1683.97</v>
      </c>
    </row>
    <row r="3" spans="1:5">
      <c r="A3" s="1" t="s">
        <v>42</v>
      </c>
      <c r="B3" s="2"/>
      <c r="C3" s="3">
        <f>(C2-2000.05)*13.4223</f>
        <v>-170.19476400000084</v>
      </c>
      <c r="D3" s="3">
        <f t="shared" ref="D3:E3" si="0">(D2-2000.05)*13.4223</f>
        <v>-9652.6470449999979</v>
      </c>
      <c r="E3" s="4">
        <f t="shared" si="0"/>
        <v>-4242.520583999999</v>
      </c>
    </row>
    <row r="4" spans="1:5">
      <c r="A4" s="1" t="s">
        <v>3</v>
      </c>
      <c r="B4" s="2"/>
      <c r="C4" s="3">
        <f>ROUND(C3*2,0)/2</f>
        <v>-170</v>
      </c>
      <c r="D4" s="3">
        <f t="shared" ref="D4:E4" si="1">ROUND(D3*2,0)/2</f>
        <v>-9652.5</v>
      </c>
      <c r="E4" s="4">
        <f t="shared" si="1"/>
        <v>-4242.5</v>
      </c>
    </row>
    <row r="5" spans="1:5">
      <c r="A5" s="1" t="s">
        <v>2</v>
      </c>
      <c r="B5" s="2"/>
      <c r="C5" s="3">
        <f>C4/1342.23</f>
        <v>-0.12665489521169992</v>
      </c>
      <c r="D5" s="3">
        <f t="shared" ref="D5:E5" si="2">D4/1342.23</f>
        <v>-7.1913904472407859</v>
      </c>
      <c r="E5" s="4">
        <f t="shared" si="2"/>
        <v>-3.1607846643272763</v>
      </c>
    </row>
    <row r="6" spans="1:5">
      <c r="A6" s="1" t="s">
        <v>4</v>
      </c>
      <c r="B6" s="2"/>
      <c r="C6" s="3">
        <f>MOD(183.638+C5*(331.73735682*1342.23+C5*(0.0014852+C5*(0.00000209-0.00000001*C5))),360)</f>
        <v>308.28736442053196</v>
      </c>
      <c r="D6" s="3">
        <f t="shared" ref="D6:E6" si="3">MOD(183.638+D5*(331.73735682*1342.23+D5*(0.0014852+D5*(0.00000209-0.00000001*D5))),360)</f>
        <v>288.87729965755716</v>
      </c>
      <c r="E6" s="4">
        <f t="shared" si="3"/>
        <v>27.916462133172899</v>
      </c>
    </row>
    <row r="7" spans="1:5">
      <c r="A7" s="1" t="s">
        <v>5</v>
      </c>
      <c r="B7" s="2"/>
      <c r="C7" s="3">
        <f>MOD(17.4006+C5*(26.8203725*1342.23+C5*(0.0001186+C5*0.00000006)),360)</f>
        <v>137.93727690239484</v>
      </c>
      <c r="D7" s="3">
        <f t="shared" ref="D7:E7" si="4">MOD(17.4006+D5*(26.8203725*1342.23+D5*(0.0001186+D5*0.00000006)),360)</f>
        <v>333.7611549643625</v>
      </c>
      <c r="E7" s="4">
        <f t="shared" si="4"/>
        <v>351.97145173567696</v>
      </c>
    </row>
    <row r="8" spans="1:5">
      <c r="A8" s="1" t="s">
        <v>6</v>
      </c>
      <c r="B8" s="2"/>
      <c r="C8" s="3">
        <f>MOD(38.3776+C5*(355.52747313*1342.23+C5*(0.0123499+C5*(0.000014627-C5*0.000000069))),360)</f>
        <v>78.707365980728355</v>
      </c>
      <c r="D8" s="3">
        <f t="shared" ref="D8:E8" si="5">MOD(38.3776+D5*(355.52747313*1342.23+D5*(0.0123499+D5*(0.000014627-D5*0.000000069))),360)</f>
        <v>190.07627681456506</v>
      </c>
      <c r="E8" s="4">
        <f t="shared" si="5"/>
        <v>113.19575960980728</v>
      </c>
    </row>
    <row r="9" spans="1:5">
      <c r="A9" s="1" t="s">
        <v>7</v>
      </c>
      <c r="B9" s="2"/>
      <c r="C9" s="3">
        <f>MOD(123.9767+C5*(-1.44098956*1342.23+C5*(0.0020608+C5*(0.00000214-C5*0.000000016))),360)</f>
        <v>8.9449582538938444</v>
      </c>
      <c r="D9" s="3">
        <f t="shared" ref="D9:E9" si="6">MOD(123.9767+D5*(-1.44098956*1342.23+D5*(0.0020608+D5*(0.00000214-D5*0.000000016))),360)</f>
        <v>353.23416575015108</v>
      </c>
      <c r="E9" s="4">
        <f t="shared" si="6"/>
        <v>117.39542767150124</v>
      </c>
    </row>
    <row r="10" spans="1:5">
      <c r="A10" s="1" t="s">
        <v>8</v>
      </c>
      <c r="B10" s="2"/>
      <c r="C10" s="3">
        <f>MOD(299.75+C5*(132.85-0.009173*C5),360)</f>
        <v>282.92375002279033</v>
      </c>
      <c r="D10" s="3">
        <f t="shared" ref="D10:E10" si="7">MOD(299.75+D5*(132.85-0.009173*D5),360)</f>
        <v>63.899387330273839</v>
      </c>
      <c r="E10" s="4">
        <f t="shared" si="7"/>
        <v>239.74811394004604</v>
      </c>
    </row>
    <row r="11" spans="1:5">
      <c r="A11" s="1" t="s">
        <v>9</v>
      </c>
      <c r="B11" s="2"/>
      <c r="C11" s="3">
        <f>MOD(C9+272.75-2.3*C5,360)</f>
        <v>281.98626451288078</v>
      </c>
      <c r="D11" s="3">
        <f t="shared" ref="D11:E11" si="8">MOD(D9+272.75-2.3*D5,360)</f>
        <v>282.52436377880485</v>
      </c>
      <c r="E11" s="4">
        <f t="shared" si="8"/>
        <v>37.415232399453998</v>
      </c>
    </row>
    <row r="12" spans="1:5">
      <c r="A12" s="1" t="s">
        <v>26</v>
      </c>
      <c r="B12" s="2"/>
      <c r="C12" s="3">
        <v>1.000319</v>
      </c>
      <c r="D12" s="3">
        <v>1</v>
      </c>
      <c r="E12" s="4">
        <v>1</v>
      </c>
    </row>
    <row r="13" spans="1:5">
      <c r="A13" s="1" t="s">
        <v>22</v>
      </c>
      <c r="B13" s="2"/>
      <c r="C13" s="3">
        <v>2451565.1619000002</v>
      </c>
      <c r="D13" s="3">
        <v>2451565.1619000002</v>
      </c>
      <c r="E13" s="4">
        <v>2451565.1619000002</v>
      </c>
    </row>
    <row r="14" spans="1:5">
      <c r="A14" s="1" t="s">
        <v>0</v>
      </c>
      <c r="B14" s="5">
        <v>27.212220816999999</v>
      </c>
      <c r="C14" s="3">
        <f>C4*$B14</f>
        <v>-4626.0775388900001</v>
      </c>
      <c r="D14" s="3">
        <f t="shared" ref="D14:E14" si="9">D4*$B14</f>
        <v>-262665.9614360925</v>
      </c>
      <c r="E14" s="4">
        <f t="shared" si="9"/>
        <v>-115447.84681612249</v>
      </c>
    </row>
    <row r="15" spans="1:5">
      <c r="A15" s="1" t="s">
        <v>23</v>
      </c>
      <c r="B15" s="5">
        <v>2.7619999999999999E-4</v>
      </c>
      <c r="C15" s="3">
        <f>C5*C5*$B15</f>
        <v>4.4306519372761431E-6</v>
      </c>
      <c r="D15" s="3">
        <f t="shared" ref="D15:E15" si="10">D5*D5*$B15</f>
        <v>1.4283985871160757E-2</v>
      </c>
      <c r="E15" s="4">
        <f t="shared" si="10"/>
        <v>2.759392587550881E-3</v>
      </c>
    </row>
    <row r="16" spans="1:5">
      <c r="A16" s="1" t="s">
        <v>24</v>
      </c>
      <c r="B16" s="5">
        <v>2.0999999999999999E-8</v>
      </c>
      <c r="C16" s="3">
        <f>C5*C5*C5*$B16</f>
        <v>-4.2666324741273457E-11</v>
      </c>
      <c r="D16" s="3">
        <f t="shared" ref="D16:E16" si="11">D5*D5*D5*$B16</f>
        <v>-7.8101234988781482E-6</v>
      </c>
      <c r="E16" s="4">
        <f t="shared" si="11"/>
        <v>-6.6313816526203082E-7</v>
      </c>
    </row>
    <row r="17" spans="1:5">
      <c r="A17" s="1" t="s">
        <v>25</v>
      </c>
      <c r="B17" s="5">
        <v>-8.8000000000000006E-11</v>
      </c>
      <c r="C17" s="3">
        <f>C5*C5*C5*C5*$B17</f>
        <v>-2.2644909630825849E-14</v>
      </c>
      <c r="D17" s="3">
        <f t="shared" ref="D17:E17" si="12">D5*D5*D5*D5*$B17</f>
        <v>-2.3536080866195583E-7</v>
      </c>
      <c r="E17" s="4">
        <f t="shared" si="12"/>
        <v>-8.7833929043786271E-9</v>
      </c>
    </row>
    <row r="18" spans="1:5">
      <c r="A18" s="14" t="s">
        <v>45</v>
      </c>
      <c r="B18" s="15" t="s">
        <v>44</v>
      </c>
      <c r="C18" s="20">
        <f>SUM(C13:C17)</f>
        <v>2446939.0843655411</v>
      </c>
      <c r="D18" s="21">
        <f t="shared" ref="D18:E18" si="13">SUM(D13:D17)</f>
        <v>2188899.2147398484</v>
      </c>
      <c r="E18" s="22">
        <f t="shared" si="13"/>
        <v>2336117.3178425981</v>
      </c>
    </row>
    <row r="19" spans="1:5">
      <c r="A19" s="16" t="s">
        <v>43</v>
      </c>
      <c r="B19" s="17" t="s">
        <v>40</v>
      </c>
      <c r="C19" s="18"/>
      <c r="D19" s="21">
        <v>2188899.2179045798</v>
      </c>
      <c r="E19" s="22">
        <v>2336117.3258444401</v>
      </c>
    </row>
    <row r="20" spans="1:5">
      <c r="A20" s="19"/>
      <c r="B20" s="17" t="s">
        <v>41</v>
      </c>
      <c r="C20" s="18"/>
      <c r="D20" s="23">
        <f>(D19-D18)*1440</f>
        <v>4.5572132617235184</v>
      </c>
      <c r="E20" s="24">
        <f>(E19-E18)*1440</f>
        <v>11.522652581334114</v>
      </c>
    </row>
    <row r="21" spans="1:5">
      <c r="A21" s="1" t="s">
        <v>10</v>
      </c>
      <c r="B21" s="6">
        <v>-0.47210000000000002</v>
      </c>
      <c r="C21" s="3">
        <f>$B21*SIN(RADIANS(C8))</f>
        <v>-0.46296006912489346</v>
      </c>
      <c r="D21" s="3">
        <f t="shared" ref="D21:E21" si="14">$B21*SIN(RADIANS(D8))</f>
        <v>8.2598181573250773E-2</v>
      </c>
      <c r="E21" s="4">
        <f t="shared" si="14"/>
        <v>-0.43393755662333172</v>
      </c>
    </row>
    <row r="22" spans="1:5">
      <c r="A22" s="1" t="s">
        <v>11</v>
      </c>
      <c r="B22" s="6">
        <v>-0.16489999999999999</v>
      </c>
      <c r="C22" s="3">
        <f>$B22*SIN(RADIANS(2*C6))</f>
        <v>0.16039387131686131</v>
      </c>
      <c r="D22" s="3">
        <f t="shared" ref="D22:E22" si="15">$B22*SIN(RADIANS(2*D6))</f>
        <v>0.10096509554933179</v>
      </c>
      <c r="E22" s="4">
        <f t="shared" si="15"/>
        <v>-0.13643882585851067</v>
      </c>
    </row>
    <row r="23" spans="1:5">
      <c r="A23" s="1" t="s">
        <v>12</v>
      </c>
      <c r="B23" s="6">
        <v>-8.6800000000000002E-2</v>
      </c>
      <c r="C23" s="3">
        <f>$B23*SIN(RADIANS(2*C6-C8))</f>
        <v>-3.2300836878309969E-3</v>
      </c>
      <c r="D23" s="3">
        <f t="shared" ref="D23:E23" si="16">$B23*SIN(RADIANS(2*D6-D8))</f>
        <v>-4.0319210145676715E-2</v>
      </c>
      <c r="E23" s="4">
        <f t="shared" si="16"/>
        <v>7.3094518569238209E-2</v>
      </c>
    </row>
    <row r="24" spans="1:5">
      <c r="A24" s="1" t="s">
        <v>13</v>
      </c>
      <c r="B24" s="6">
        <v>8.3999999999999995E-3</v>
      </c>
      <c r="C24" s="3">
        <f>$B24*SIN(RADIANS(2*C6+C8))</f>
        <v>-3.5124681153743281E-3</v>
      </c>
      <c r="D24" s="3">
        <f t="shared" ref="D24:E24" si="17">$B24*SIN(RADIANS(2*D6+D8))</f>
        <v>6.2257983672744455E-3</v>
      </c>
      <c r="E24" s="4">
        <f t="shared" si="17"/>
        <v>1.5986673473633434E-3</v>
      </c>
    </row>
    <row r="25" spans="1:5">
      <c r="A25" s="1"/>
      <c r="B25" s="6"/>
      <c r="C25" s="3">
        <f>SUM(C18:C24)</f>
        <v>2446938.7750567915</v>
      </c>
      <c r="D25" s="3">
        <f>SUM(D18,D21:D24)</f>
        <v>2188899.3642097139</v>
      </c>
      <c r="E25" s="4">
        <f>SUM(E18,E21:E24)</f>
        <v>2336116.8221594016</v>
      </c>
    </row>
    <row r="26" spans="1:5">
      <c r="A26" s="1" t="s">
        <v>27</v>
      </c>
      <c r="B26" s="6">
        <f>-0.0083</f>
        <v>-8.3000000000000001E-3</v>
      </c>
      <c r="C26" s="3">
        <f>$B26*SIN(RADIANS(2*C6-C7))*C12</f>
        <v>-7.286983863129785E-3</v>
      </c>
      <c r="D26" s="3">
        <f t="shared" ref="D26:E26" si="18">$B26*SIN(RADIANS(2*D6-D7))*D12</f>
        <v>7.4595742290117575E-3</v>
      </c>
      <c r="E26" s="4">
        <f t="shared" si="18"/>
        <v>-7.4511718146576499E-3</v>
      </c>
    </row>
    <row r="27" spans="1:5">
      <c r="A27" s="1" t="s">
        <v>28</v>
      </c>
      <c r="B27" s="6">
        <v>-3.8999999999999998E-3</v>
      </c>
      <c r="C27" s="3">
        <f>$B27*SIN(RADIANS(2*C6-C7-C8))*C12</f>
        <v>-2.504022813629922E-3</v>
      </c>
      <c r="D27" s="3">
        <f t="shared" ref="D27:E27" si="19">$B27*SIN(RADIANS(2*D6-D7-D8))*D12</f>
        <v>-3.1518489153381231E-3</v>
      </c>
      <c r="E27" s="4">
        <f t="shared" si="19"/>
        <v>2.9582452798585478E-3</v>
      </c>
    </row>
    <row r="28" spans="1:5">
      <c r="A28" s="1" t="s">
        <v>14</v>
      </c>
      <c r="B28" s="6">
        <v>3.3999999999999998E-3</v>
      </c>
      <c r="C28" s="3">
        <f>$B28*SIN(RADIANS(2*C8))</f>
        <v>1.305796972234749E-3</v>
      </c>
      <c r="D28" s="3">
        <f t="shared" ref="D28:E28" si="20">$B28*SIN(RADIANS(2*D8))</f>
        <v>1.1713711244270095E-3</v>
      </c>
      <c r="E28" s="4">
        <f t="shared" si="20"/>
        <v>-2.461837244233836E-3</v>
      </c>
    </row>
    <row r="29" spans="1:5">
      <c r="A29" s="1" t="s">
        <v>15</v>
      </c>
      <c r="B29" s="6">
        <v>-3.0999999999999999E-3</v>
      </c>
      <c r="C29" s="3">
        <f>$B29*SIN(RADIANS(2*C6-2*C8))</f>
        <v>-3.0604677190302246E-3</v>
      </c>
      <c r="D29" s="3">
        <f t="shared" ref="D29:E29" si="21">$B29*SIN(RADIANS(2*D6-2*D8))</f>
        <v>9.3745216202932027E-4</v>
      </c>
      <c r="E29" s="4">
        <f t="shared" si="21"/>
        <v>5.0852049774018689E-4</v>
      </c>
    </row>
    <row r="30" spans="1:5">
      <c r="A30" s="1" t="s">
        <v>29</v>
      </c>
      <c r="B30" s="6">
        <v>3.0000000000000001E-3</v>
      </c>
      <c r="C30" s="3">
        <f>$B30*SIN(RADIANS(2*C6+C7))*C12</f>
        <v>1.7002789510782621E-3</v>
      </c>
      <c r="D30" s="3">
        <f t="shared" ref="D30:E30" si="22">$B30*SIN(RADIANS(2*D6+D7))*D12</f>
        <v>-5.9891211282251332E-4</v>
      </c>
      <c r="E30" s="4">
        <f t="shared" si="22"/>
        <v>2.2225676916546905E-3</v>
      </c>
    </row>
    <row r="31" spans="1:5">
      <c r="A31" s="1" t="s">
        <v>30</v>
      </c>
      <c r="B31" s="6">
        <v>2.8E-3</v>
      </c>
      <c r="C31" s="3">
        <f>$B31*SIN(RADIANS(C7-C8))*C12</f>
        <v>2.4066033103070342E-3</v>
      </c>
      <c r="D31" s="3">
        <f t="shared" ref="D31:E31" si="23">$B31*SIN(RADIANS(D7-D8))*D12</f>
        <v>1.6582324182651221E-3</v>
      </c>
      <c r="E31" s="4">
        <f t="shared" si="23"/>
        <v>-2.3944043451075976E-3</v>
      </c>
    </row>
    <row r="32" spans="1:5">
      <c r="A32" s="1" t="s">
        <v>36</v>
      </c>
      <c r="B32" s="6">
        <v>2.5999999999999999E-3</v>
      </c>
      <c r="C32" s="3">
        <f>$B32*SIN(RADIANS(C7))*C12</f>
        <v>1.7424093861203047E-3</v>
      </c>
      <c r="D32" s="3">
        <f t="shared" ref="D32:E32" si="24">$B32*SIN(RADIANS(D7))*D12</f>
        <v>-1.1494965791813379E-3</v>
      </c>
      <c r="E32" s="4">
        <f t="shared" si="24"/>
        <v>-3.6313288915316028E-4</v>
      </c>
    </row>
    <row r="33" spans="1:5">
      <c r="A33" s="1" t="s">
        <v>16</v>
      </c>
      <c r="B33" s="6">
        <v>2.5000000000000001E-3</v>
      </c>
      <c r="C33" s="3">
        <f>$B33*SIN(RADIANS(4*C6))</f>
        <v>1.1291618544078646E-3</v>
      </c>
      <c r="D33" s="3">
        <f t="shared" ref="D33:E33" si="25">$B33*SIN(RADIANS(4*D6))</f>
        <v>2.420469563762954E-3</v>
      </c>
      <c r="E33" s="4">
        <f t="shared" si="25"/>
        <v>2.3233819901880967E-3</v>
      </c>
    </row>
    <row r="34" spans="1:5">
      <c r="A34" s="1" t="s">
        <v>17</v>
      </c>
      <c r="B34" s="6">
        <v>2.3999999999999998E-3</v>
      </c>
      <c r="C34" s="3">
        <f>$B34*SIN(RADIANS(C6))</f>
        <v>-1.8837912788297851E-3</v>
      </c>
      <c r="D34" s="3">
        <f t="shared" ref="D34:E34" si="26">$B34*SIN(RADIANS(D6))</f>
        <v>-2.2709126862334146E-3</v>
      </c>
      <c r="E34" s="4">
        <f t="shared" si="26"/>
        <v>1.1236409210218156E-3</v>
      </c>
    </row>
    <row r="35" spans="1:5">
      <c r="A35" s="1" t="s">
        <v>31</v>
      </c>
      <c r="B35" s="6">
        <v>2.2000000000000001E-3</v>
      </c>
      <c r="C35" s="3">
        <f>$B35*SIN(RADIANS(C7+C8))*C12</f>
        <v>-1.3134893566447436E-3</v>
      </c>
      <c r="D35" s="3">
        <f t="shared" ref="D35:E35" si="27">$B35*SIN(RADIANS(D7+D8))*D12</f>
        <v>6.1240009424615269E-4</v>
      </c>
      <c r="E35" s="4">
        <f t="shared" si="27"/>
        <v>2.1233660347718211E-3</v>
      </c>
    </row>
    <row r="36" spans="1:5">
      <c r="A36" s="1" t="s">
        <v>18</v>
      </c>
      <c r="B36" s="6">
        <v>1.6999999999999999E-3</v>
      </c>
      <c r="C36" s="3">
        <f>$B36*SIN(RADIANS(C9))</f>
        <v>2.6432545305646115E-4</v>
      </c>
      <c r="D36" s="3">
        <f t="shared" ref="D36:E36" si="28">$B36*SIN(RADIANS(D9))</f>
        <v>-2.0028012317291176E-4</v>
      </c>
      <c r="E36" s="4">
        <f t="shared" si="28"/>
        <v>1.5093485823395687E-3</v>
      </c>
    </row>
    <row r="37" spans="1:5">
      <c r="A37" s="1" t="s">
        <v>19</v>
      </c>
      <c r="B37" s="6">
        <v>1.4E-3</v>
      </c>
      <c r="C37" s="3">
        <f>$B37*SIN(RADIANS(4*C6-C8))</f>
        <v>1.3487038121220778E-3</v>
      </c>
      <c r="D37" s="3">
        <f t="shared" ref="D37:E37" si="29">$B37*SIN(RADIANS(4*D6-D8))</f>
        <v>-1.2732652119829917E-3</v>
      </c>
      <c r="E37" s="4">
        <f t="shared" si="29"/>
        <v>-3.7378337644513477E-5</v>
      </c>
    </row>
    <row r="38" spans="1:5">
      <c r="A38" s="1" t="s">
        <v>32</v>
      </c>
      <c r="B38" s="6">
        <v>5.0000000000000001E-4</v>
      </c>
      <c r="C38" s="3">
        <f>$B38*SIN(RADIANS(2*C6+C7-C8))*C12</f>
        <v>-3.4866471145732306E-4</v>
      </c>
      <c r="D38" s="3">
        <f t="shared" ref="D38:E38" si="30">$B38*SIN(RADIANS(2*D6+D7-D8))*D12</f>
        <v>1.2560489182362712E-5</v>
      </c>
      <c r="E38" s="4">
        <f t="shared" si="30"/>
        <v>-4.5458674831149056E-4</v>
      </c>
    </row>
    <row r="39" spans="1:5">
      <c r="A39" s="1" t="s">
        <v>33</v>
      </c>
      <c r="B39" s="6">
        <v>4.0000000000000002E-4</v>
      </c>
      <c r="C39" s="3">
        <f>$B39*SIN(RADIANS(2*C6-C7+C8))*C12</f>
        <v>-1.1928668682335028E-4</v>
      </c>
      <c r="D39" s="3">
        <f t="shared" ref="D39:E39" si="31">$B39*SIN(RADIANS(2*D6-D7+D8))*D12</f>
        <v>3.8463855892146751E-4</v>
      </c>
      <c r="E39" s="4">
        <f t="shared" si="31"/>
        <v>2.053536398109305E-5</v>
      </c>
    </row>
    <row r="40" spans="1:5">
      <c r="A40" s="1" t="s">
        <v>34</v>
      </c>
      <c r="B40" s="6">
        <v>-2.9999999999999997E-4</v>
      </c>
      <c r="C40" s="3">
        <f>$B40*SIN(RADIANS(2*C6-2*C7))*C12</f>
        <v>9.9185082782910375E-5</v>
      </c>
      <c r="D40" s="3">
        <f t="shared" ref="D40:E40" si="32">$B40*SIN(RADIANS(2*D6-2*D7))*D12</f>
        <v>2.9999753450496149E-4</v>
      </c>
      <c r="E40" s="4">
        <f t="shared" si="32"/>
        <v>-2.851384820106619E-4</v>
      </c>
    </row>
    <row r="41" spans="1:5">
      <c r="A41" s="1" t="s">
        <v>35</v>
      </c>
      <c r="B41" s="6">
        <v>2.9999999999999997E-4</v>
      </c>
      <c r="C41" s="3">
        <f>$B41*SIN(RADIANS(4*C6-C7))*C12</f>
        <v>7.874341017274046E-5</v>
      </c>
      <c r="D41" s="3">
        <f t="shared" ref="D41:E41" si="33">$B41*SIN(RADIANS(4*D6-D7))*D12</f>
        <v>2.9371572754617766E-4</v>
      </c>
      <c r="E41" s="4">
        <f t="shared" si="33"/>
        <v>2.6060398900148491E-4</v>
      </c>
    </row>
    <row r="42" spans="1:5">
      <c r="A42" s="1" t="s">
        <v>20</v>
      </c>
      <c r="B42" s="6">
        <v>2.9999999999999997E-4</v>
      </c>
      <c r="C42" s="3">
        <f>$B42*SIN(RADIANS(C10))</f>
        <v>-2.9240057090521943E-4</v>
      </c>
      <c r="D42" s="3">
        <f t="shared" ref="D42:E42" si="34">$B42*SIN(RADIANS(D10))</f>
        <v>2.6940686141819998E-4</v>
      </c>
      <c r="E42" s="4">
        <f t="shared" si="34"/>
        <v>-2.5914567645801662E-4</v>
      </c>
    </row>
    <row r="43" spans="1:5">
      <c r="A43" s="1" t="s">
        <v>21</v>
      </c>
      <c r="B43" s="6">
        <v>2.9999999999999997E-4</v>
      </c>
      <c r="C43" s="3">
        <f>$B43*SIN(RADIANS(C11))</f>
        <v>-2.9345922455596528E-4</v>
      </c>
      <c r="D43" s="3">
        <f t="shared" ref="D43:E43" si="35">$B43*SIN(RADIANS(D11))</f>
        <v>-2.9286116479135412E-4</v>
      </c>
      <c r="E43" s="4">
        <f t="shared" si="35"/>
        <v>1.8227610533135154E-4</v>
      </c>
    </row>
    <row r="44" spans="1:5">
      <c r="A44" s="1"/>
      <c r="B44" s="2"/>
      <c r="C44" s="3">
        <f>SUM(C25:C43)</f>
        <v>2446938.7680294337</v>
      </c>
      <c r="D44" s="3">
        <f t="shared" ref="D44:E44" si="36">SUM(D25:D43)</f>
        <v>2188899.3707919559</v>
      </c>
      <c r="E44" s="4">
        <f t="shared" si="36"/>
        <v>2336116.8216850925</v>
      </c>
    </row>
    <row r="45" spans="1:5" ht="14.25" thickBot="1">
      <c r="A45" s="7"/>
      <c r="B45" s="8"/>
      <c r="C45" s="9">
        <f>C44-INT(C44)</f>
        <v>0.76802943367511034</v>
      </c>
      <c r="D45" s="9"/>
      <c r="E45" s="10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verticalDpi="0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暦元の降交点</vt:lpstr>
      <vt:lpstr>暦元の降交点!Print_Area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t_suga</dc:creator>
  <cp:lastModifiedBy>t_suga</cp:lastModifiedBy>
  <cp:lastPrinted>2015-07-28T00:10:03Z</cp:lastPrinted>
  <dcterms:created xsi:type="dcterms:W3CDTF">2015-07-27T02:03:22Z</dcterms:created>
  <dcterms:modified xsi:type="dcterms:W3CDTF">2015-07-28T00:20:24Z</dcterms:modified>
</cp:coreProperties>
</file>