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firstSheet="16" activeTab="20"/>
  </bookViews>
  <sheets>
    <sheet name="SUMIF" sheetId="1" r:id="rId1"/>
    <sheet name="DSUM" sheetId="2" r:id="rId2"/>
    <sheet name="OFFSET" sheetId="3" r:id="rId3"/>
    <sheet name="MOD,ROW" sheetId="4" r:id="rId4"/>
    <sheet name="ＳＵＭＰＲＯＤＵＣＴ" sheetId="5" r:id="rId5"/>
    <sheet name="CEILING,FLOOR" sheetId="6" r:id="rId6"/>
    <sheet name="ＭＲＯＵＮＤ" sheetId="7" r:id="rId7"/>
    <sheet name="MIN" sheetId="8" r:id="rId8"/>
    <sheet name="時間の計算" sheetId="9" r:id="rId9"/>
    <sheet name="ＷＥＥＫＤＡＹ" sheetId="10" r:id="rId10"/>
    <sheet name="ＣＯＮＶＥＲＴ" sheetId="11" r:id="rId11"/>
    <sheet name="COUNT,COUNTA" sheetId="12" r:id="rId12"/>
    <sheet name="COUNTIF" sheetId="13" r:id="rId13"/>
    <sheet name="DCOUNTA" sheetId="14" r:id="rId14"/>
    <sheet name="MEDIAN,MODE" sheetId="15" r:id="rId15"/>
    <sheet name="DAVERAGE" sheetId="16" r:id="rId16"/>
    <sheet name="DMAX,DMIN" sheetId="17" r:id="rId17"/>
    <sheet name="ＳＴＤＥＶＰ" sheetId="18" r:id="rId18"/>
    <sheet name="FREQUENCY" sheetId="19" r:id="rId19"/>
    <sheet name="ＲＡＮＫ" sheetId="20" r:id="rId20"/>
    <sheet name="VLOOKUP" sheetId="21" r:id="rId21"/>
    <sheet name="VLOOKUP-2" sheetId="22" r:id="rId22"/>
    <sheet name="IF-1" sheetId="23" r:id="rId23"/>
    <sheet name="IF-2" sheetId="24" r:id="rId24"/>
    <sheet name="ＡＮＤ，ＯＲ" sheetId="25" r:id="rId25"/>
    <sheet name="PERCENTRANK" sheetId="26" r:id="rId26"/>
    <sheet name="RAND" sheetId="27" r:id="rId27"/>
    <sheet name="ＩＳの付く関数" sheetId="28" r:id="rId28"/>
  </sheets>
  <definedNames>
    <definedName name="_xlfn.IFERROR" hidden="1">#NAME?</definedName>
  </definedNames>
  <calcPr fullCalcOnLoad="1"/>
</workbook>
</file>

<file path=xl/sharedStrings.xml><?xml version="1.0" encoding="utf-8"?>
<sst xmlns="http://schemas.openxmlformats.org/spreadsheetml/2006/main" count="1050" uniqueCount="459">
  <si>
    <t>経費明細一覧</t>
  </si>
  <si>
    <t>費目別合計</t>
  </si>
  <si>
    <t>日付</t>
  </si>
  <si>
    <t>費目</t>
  </si>
  <si>
    <t>社員名</t>
  </si>
  <si>
    <t>金額</t>
  </si>
  <si>
    <t>交通費</t>
  </si>
  <si>
    <t>川崎</t>
  </si>
  <si>
    <t>資料代</t>
  </si>
  <si>
    <t>水野</t>
  </si>
  <si>
    <t>消耗品</t>
  </si>
  <si>
    <t>澤田</t>
  </si>
  <si>
    <t>通信費</t>
  </si>
  <si>
    <t>複数の費目がある中で特定の費目だけを合計したい時</t>
  </si>
  <si>
    <t>資料代</t>
  </si>
  <si>
    <t>項目別の金額を合計する　　　SUMIF</t>
  </si>
  <si>
    <t>範囲：この場合費目が並んでいる所</t>
  </si>
  <si>
    <t>検索条件：所定の費目を選ぶ</t>
  </si>
  <si>
    <t>（この場合F列の費目を選んだのはオートフィルの為）</t>
  </si>
  <si>
    <t>（オートフィルをしないのなら別にB列の費目を選んでも可）</t>
  </si>
  <si>
    <t>合計範囲：D列のデータ部オートフィルの為に絶対参照で</t>
  </si>
  <si>
    <t>DSUMの場合は検索条件として、１つづつになる</t>
  </si>
  <si>
    <t>検索条件</t>
  </si>
  <si>
    <t>指定した複数の条件に合致する金額を合計</t>
  </si>
  <si>
    <t>DSUM(A4:D19,4,F4:G5)</t>
  </si>
  <si>
    <t>明細表全体を選ぶ</t>
  </si>
  <si>
    <t>フィールドを指定（Ｄ４としてもＯＫ）</t>
  </si>
  <si>
    <t>検索条件を指定（この場合消耗品</t>
  </si>
  <si>
    <t>であり、かつ澤田の合計）</t>
  </si>
  <si>
    <t>※　ＡＮＤ検索条件を指定の時は横に</t>
  </si>
  <si>
    <t>※　ＯＲ検索条件を指定の時は縦に</t>
  </si>
  <si>
    <t>ＡＮＤ</t>
  </si>
  <si>
    <t>ＯＲ</t>
  </si>
  <si>
    <t>指定した期間の売り上げ期間を合計する</t>
  </si>
  <si>
    <t>検索期間</t>
  </si>
  <si>
    <t>開始</t>
  </si>
  <si>
    <t>終了</t>
  </si>
  <si>
    <t>金額</t>
  </si>
  <si>
    <t>計算の為日付換算（シリアル値に）</t>
  </si>
  <si>
    <t>日付</t>
  </si>
  <si>
    <t>&gt;=40137</t>
  </si>
  <si>
    <t>&lt;=40152</t>
  </si>
  <si>
    <t>※　ここで、日付をシリアル値に変えてやるのが面倒な時</t>
  </si>
  <si>
    <t>（AND)</t>
  </si>
  <si>
    <t>（OR)</t>
  </si>
  <si>
    <t>どんな風に記入するかチェック！！</t>
  </si>
  <si>
    <t>費目が消耗品で、社員名が</t>
  </si>
  <si>
    <t>澤田の合計金額</t>
  </si>
  <si>
    <t>費目が消耗品か、</t>
  </si>
  <si>
    <t>社員名が澤田の合計金額</t>
  </si>
  <si>
    <t>売上金額</t>
  </si>
  <si>
    <t>月から</t>
  </si>
  <si>
    <t>１月</t>
  </si>
  <si>
    <t>月まで</t>
  </si>
  <si>
    <t>２月</t>
  </si>
  <si>
    <t>３月</t>
  </si>
  <si>
    <t>合計</t>
  </si>
  <si>
    <t>４月</t>
  </si>
  <si>
    <t>５月</t>
  </si>
  <si>
    <t>６月</t>
  </si>
  <si>
    <t>７月</t>
  </si>
  <si>
    <t>８月</t>
  </si>
  <si>
    <t>９月</t>
  </si>
  <si>
    <t>１０月</t>
  </si>
  <si>
    <t>１１月</t>
  </si>
  <si>
    <t>指定した行間の金額を合計する（この場合２月から４月の３ヶ月分を合計する）</t>
  </si>
  <si>
    <t>ＯＦＦＳＥＴ：基準となるセルを指定して、開始したい範囲の始まりをそのセルから</t>
  </si>
  <si>
    <t>何行、何列離れているか指定して、終わりまでの範囲の高さと幅で指定する</t>
  </si>
  <si>
    <t>　この場合Ａ３（売上金額）を基準とし、Ｄ4：Ｄ５で指定した月の売上を合計したいから</t>
  </si>
  <si>
    <t>　売上金額の下の行に日付と金額のフィールドの行が余分に入っているので</t>
  </si>
  <si>
    <t>　行数指定では１行増やす</t>
  </si>
  <si>
    <t>　列数指定では売上金額のセルより１列右の金額の所を合計したいので１列増やす</t>
  </si>
  <si>
    <r>
      <t>　高さは２月～４月は</t>
    </r>
    <r>
      <rPr>
        <sz val="11"/>
        <color indexed="10"/>
        <rFont val="ＭＳ Ｐゴシック"/>
        <family val="3"/>
      </rPr>
      <t>３</t>
    </r>
    <r>
      <rPr>
        <sz val="11"/>
        <rFont val="ＭＳ Ｐゴシック"/>
        <family val="3"/>
      </rPr>
      <t>すなわちＤ５-Ｄ４+1</t>
    </r>
  </si>
  <si>
    <t>　幅はその列だけなので１となる</t>
  </si>
  <si>
    <t>　因みに基準をＢ４（金額）としたらこの様な式となる</t>
  </si>
  <si>
    <t>講習会申し込み状況</t>
  </si>
  <si>
    <t>時間割</t>
  </si>
  <si>
    <t>定員</t>
  </si>
  <si>
    <t>申込者数</t>
  </si>
  <si>
    <t>11日（土）</t>
  </si>
  <si>
    <t>午前</t>
  </si>
  <si>
    <t>20名</t>
  </si>
  <si>
    <t>午後</t>
  </si>
  <si>
    <t>30名</t>
  </si>
  <si>
    <t>12日（日）</t>
  </si>
  <si>
    <t>45名</t>
  </si>
  <si>
    <t>18日（土）</t>
  </si>
  <si>
    <t>35名</t>
  </si>
  <si>
    <t>19日（日）</t>
  </si>
  <si>
    <t>午前合計</t>
  </si>
  <si>
    <t>午後合計</t>
  </si>
  <si>
    <t>MOD：　余りを求める</t>
  </si>
  <si>
    <t>ROW：　指定したセルの行番号を求める</t>
  </si>
  <si>
    <t>この表の様に午前と午後が交互になっている時の</t>
  </si>
  <si>
    <t>午前だけ、午後だけを合計したい時</t>
  </si>
  <si>
    <t>そのセルの行番号を２で割って余りが１か０かで表示するかしないかを出して</t>
  </si>
  <si>
    <t>表示された分だけを合計する</t>
  </si>
  <si>
    <t>2007年度おせちセット販売</t>
  </si>
  <si>
    <t>販売価格</t>
  </si>
  <si>
    <t>重箱A</t>
  </si>
  <si>
    <t>重箱B</t>
  </si>
  <si>
    <t>重箱C</t>
  </si>
  <si>
    <t>Aセット</t>
  </si>
  <si>
    <t>Bセット</t>
  </si>
  <si>
    <t>Cセット</t>
  </si>
  <si>
    <t>注文数</t>
  </si>
  <si>
    <t>ＳＵＭＰＲＯＤＵＣＴ：　マトリックス的に掛け算をしてその結果を合計する</t>
  </si>
  <si>
    <t>同じ大きさの複数の範囲の対応する位置の値を</t>
  </si>
  <si>
    <t>それぞれ掛けて合計する</t>
  </si>
  <si>
    <t>　一挙に合計を出す事が出来る</t>
  </si>
  <si>
    <t>　各価格にそれぞれの注文数を掛けて</t>
  </si>
  <si>
    <t>　この場合の様に表が対応していたら</t>
  </si>
  <si>
    <t>商品名</t>
  </si>
  <si>
    <t>発注個数</t>
  </si>
  <si>
    <t>１ケースの個数</t>
  </si>
  <si>
    <t>換算個数</t>
  </si>
  <si>
    <t>発注ケース数</t>
  </si>
  <si>
    <t>単１乾電池</t>
  </si>
  <si>
    <t>単２乾電池</t>
  </si>
  <si>
    <t>単３乾電池</t>
  </si>
  <si>
    <t>単４乾電池</t>
  </si>
  <si>
    <t>発注ケース換算表</t>
  </si>
  <si>
    <t>ＣＥＩＬＩＮＧ：基準値の倍数で指定数値より大きくて一番小さいもの</t>
  </si>
  <si>
    <t>商品をケース単位で発注する場合</t>
  </si>
  <si>
    <t>商品が不足しない様に必要個数と同数</t>
  </si>
  <si>
    <t>又は多くなる様に発注ケースを定める必用がある</t>
  </si>
  <si>
    <t>FLOOR   ：基準値の倍数で指定数値以下で指定値に一番近い値</t>
  </si>
  <si>
    <t>発注ケース換算表</t>
  </si>
  <si>
    <t>発注単品数</t>
  </si>
  <si>
    <t>商品を発注する場合</t>
  </si>
  <si>
    <t>ケース単位で発注し、半端分を</t>
  </si>
  <si>
    <t>単品で発注する時</t>
  </si>
  <si>
    <t>ＭＲＯＵＮＤ：数値の値に最も近い基準値の倍数を計算する</t>
  </si>
  <si>
    <t>数値より大きい基準値の倍数の端数が基準値の半分未満の時は</t>
  </si>
  <si>
    <t>切捨て、半分以上の時は切上げ</t>
  </si>
  <si>
    <t>※個数の余りによって発注ケース数を変える。</t>
  </si>
  <si>
    <t>　余りが1ケースの個数の半数未満なら余りを除き、半数以上なら1ケース増やす</t>
  </si>
  <si>
    <t>設定した上限額で金額を切り捨てたい時</t>
  </si>
  <si>
    <t>出張時宿泊費補助</t>
  </si>
  <si>
    <t>補助限度額</t>
  </si>
  <si>
    <t>氏名</t>
  </si>
  <si>
    <t>宿泊費</t>
  </si>
  <si>
    <t>支給額</t>
  </si>
  <si>
    <t>太田堅一</t>
  </si>
  <si>
    <t>木村雄太</t>
  </si>
  <si>
    <t>鈴木善治</t>
  </si>
  <si>
    <t>戸田誠</t>
  </si>
  <si>
    <t>根元雅人</t>
  </si>
  <si>
    <t>森川聡史</t>
  </si>
  <si>
    <t>ＩＦ関数を使用するよりＭＩＮ関数を使ったほうがスマート</t>
  </si>
  <si>
    <t>ＩＦの場合</t>
  </si>
  <si>
    <t>ＭＩＮの場合</t>
  </si>
  <si>
    <t>給与計算</t>
  </si>
  <si>
    <t>出勤時刻</t>
  </si>
  <si>
    <t>退勤時刻</t>
  </si>
  <si>
    <t>勤務時間</t>
  </si>
  <si>
    <t>時給</t>
  </si>
  <si>
    <t>給与</t>
  </si>
  <si>
    <t>合計時間</t>
  </si>
  <si>
    <t>時間換算</t>
  </si>
  <si>
    <t>（何もしない状態で保護をかけると全てのセルにロックがかかるようになっているので、全てのセルに記入出来なくなる）</t>
  </si>
  <si>
    <t>（そこで、あらかじめ記入したいセルだけロックを外しておく）</t>
  </si>
  <si>
    <t>記入許可部のセルだけロックを外しておく（範囲選択→書式→セル→保護タブのロックのチェックを外す）</t>
  </si>
  <si>
    <t>次に保護をかける（ツール→保護→シートの保護）</t>
  </si>
  <si>
    <t>色のセルは表示形式としてユーザー定義h:mmを使用している</t>
  </si>
  <si>
    <t>時間の計算はシリアル値を元に計算している</t>
  </si>
  <si>
    <t>出勤時刻と退勤時刻の欄しか記入出来ない様にするには（このシートは保護をかけている）</t>
  </si>
  <si>
    <t>土日の時給を割増して給料を計算する</t>
  </si>
  <si>
    <t>給与計算</t>
  </si>
  <si>
    <t>出勤時刻</t>
  </si>
  <si>
    <t>退勤時刻</t>
  </si>
  <si>
    <t>勤務時間</t>
  </si>
  <si>
    <t>曜日番号</t>
  </si>
  <si>
    <t>平日時給</t>
  </si>
  <si>
    <t>土日時給</t>
  </si>
  <si>
    <t>平日勤務時間</t>
  </si>
  <si>
    <t>土日勤務時間</t>
  </si>
  <si>
    <t>給与総額</t>
  </si>
  <si>
    <t>WEEKDAY ：　日付に対応した曜日を曜日番号で返す。　種類が３つ有るので選択する</t>
  </si>
  <si>
    <t>この場合月曜日から1,2,3・・種類として２を選ぶ</t>
  </si>
  <si>
    <t>土日と分けて計算する必要があるので、ＷＥＥＫＤＡＹ関数で種類として月曜日が1で始まるのを選択し、</t>
  </si>
  <si>
    <t>５以下（月火水木金）６以上（土日）で別々に計算する</t>
  </si>
  <si>
    <t>　日付の１月～１１月が数値で無く、ひらがな入力だから</t>
  </si>
  <si>
    <t>※この場合ＤＳＵＭとかＳＵＭＩＦが使われていない理由は</t>
  </si>
  <si>
    <t>単位換算表</t>
  </si>
  <si>
    <t>数値</t>
  </si>
  <si>
    <t>変換前単位</t>
  </si>
  <si>
    <t>g</t>
  </si>
  <si>
    <t>変換後数値</t>
  </si>
  <si>
    <t>変換後単位</t>
  </si>
  <si>
    <t>lbm</t>
  </si>
  <si>
    <t>ＣＯＮＶＥＲＴ：単位を換算する</t>
  </si>
  <si>
    <t>ＣＯＮＶＥＲＴ（数値、変換前単位、変換後単位）</t>
  </si>
  <si>
    <t>アドイン関数の為分析ツールを組み込む必要がある</t>
  </si>
  <si>
    <t>COUNT：数値の入ったセルの数を数える</t>
  </si>
  <si>
    <t>COUNTA：データが入っているセルの数を数える</t>
  </si>
  <si>
    <t>新人研修テスト結果</t>
  </si>
  <si>
    <t>4/16実施</t>
  </si>
  <si>
    <t>社員名</t>
  </si>
  <si>
    <t>得点</t>
  </si>
  <si>
    <t>受験者数</t>
  </si>
  <si>
    <t>青木慶介</t>
  </si>
  <si>
    <t>欠席者数</t>
  </si>
  <si>
    <t>井上由香</t>
  </si>
  <si>
    <t>小野輝明</t>
  </si>
  <si>
    <t>欠席</t>
  </si>
  <si>
    <t>小松武史</t>
  </si>
  <si>
    <t>三枝智樹</t>
  </si>
  <si>
    <t>高橋美月</t>
  </si>
  <si>
    <t>林健司</t>
  </si>
  <si>
    <t>村上和夫</t>
  </si>
  <si>
    <t>本木聡</t>
  </si>
  <si>
    <t>渡辺愛</t>
  </si>
  <si>
    <t>COUNTIF：範囲内で検索条件に合ったセルの個数を数える</t>
  </si>
  <si>
    <t>社内セミナー受講記録</t>
  </si>
  <si>
    <t>性別</t>
  </si>
  <si>
    <t>所属</t>
  </si>
  <si>
    <t>出席数</t>
  </si>
  <si>
    <t>人数</t>
  </si>
  <si>
    <t>笠原　弘子</t>
  </si>
  <si>
    <t>女</t>
  </si>
  <si>
    <t>営業部１課</t>
  </si>
  <si>
    <t>男性</t>
  </si>
  <si>
    <t>小松　武史</t>
  </si>
  <si>
    <t>男</t>
  </si>
  <si>
    <t>広報部</t>
  </si>
  <si>
    <t>女性</t>
  </si>
  <si>
    <t>大原　博</t>
  </si>
  <si>
    <t>総務部</t>
  </si>
  <si>
    <t>中尾　正也</t>
  </si>
  <si>
    <t>三枝　智樹</t>
  </si>
  <si>
    <t>営業部２課</t>
  </si>
  <si>
    <t>松　由美子</t>
  </si>
  <si>
    <t>広田　啓次郎</t>
  </si>
  <si>
    <t>杉山　万理</t>
  </si>
  <si>
    <t>小野　輝明</t>
  </si>
  <si>
    <t>桐野　圭子</t>
  </si>
  <si>
    <t>DCOUNTA：表の中で検索条件に合うデータを探し、空白で無いデータの個数を数える</t>
  </si>
  <si>
    <t>この場合不要</t>
  </si>
  <si>
    <t>社内セミナー確認テスト</t>
  </si>
  <si>
    <t>中央値</t>
  </si>
  <si>
    <t>営業部</t>
  </si>
  <si>
    <t>最頻値</t>
  </si>
  <si>
    <t>塚本　幹夫</t>
  </si>
  <si>
    <t>佐々木　隆</t>
  </si>
  <si>
    <t>津田　まゆみ</t>
  </si>
  <si>
    <t>本村　健一</t>
  </si>
  <si>
    <t>並木　由香</t>
  </si>
  <si>
    <t>MEDIAN：数値データを大きさの順に並べた時の真ん中に位置する値</t>
  </si>
  <si>
    <t>MODE：最も出現頻度の高い値</t>
  </si>
  <si>
    <t>これらの値を比べると、得点分布の特徴が見えてくる</t>
  </si>
  <si>
    <t>たとえば平均値が最頻値より極端に高い場合、一握りの高得点者が平均値を引き上げていると推測出来る</t>
  </si>
  <si>
    <t>DAVERAGE：条件に合致したデータのみの平均値</t>
  </si>
  <si>
    <t>平均</t>
  </si>
  <si>
    <t>フィールドとしてD5を選択すればこの場合自動的に</t>
  </si>
  <si>
    <t>“得点”と設定している</t>
  </si>
  <si>
    <r>
      <t>フィールドとしてこの場合だと</t>
    </r>
    <r>
      <rPr>
        <sz val="11"/>
        <color indexed="10"/>
        <rFont val="ＭＳ Ｐゴシック"/>
        <family val="3"/>
      </rPr>
      <t>４</t>
    </r>
    <r>
      <rPr>
        <sz val="11"/>
        <rFont val="ＭＳ Ｐゴシック"/>
        <family val="3"/>
      </rPr>
      <t>でも可</t>
    </r>
  </si>
  <si>
    <t>省略しても可</t>
  </si>
  <si>
    <t>この場合DCOUNTでもDCOUNTAでも同じで、フィールドを</t>
  </si>
  <si>
    <t>AVERAGEだと</t>
  </si>
  <si>
    <t>営業部の男性の平均得点を求める</t>
  </si>
  <si>
    <t>メニューバーのデータからデータベースを優先順位の所属、性別で分けて</t>
  </si>
  <si>
    <t>する方法も有るが、表そのものはいじくらない！</t>
  </si>
  <si>
    <t>ＤＭＡＸ：複数の条件に合致したデータの最大値</t>
  </si>
  <si>
    <t>ＤＭＩＮ：複数の条件に一致したデータの最小値</t>
  </si>
  <si>
    <t>最高点</t>
  </si>
  <si>
    <t>最低点</t>
  </si>
  <si>
    <t>得点に対する偏差値を計算する</t>
  </si>
  <si>
    <t>偏差値の式は各自の得点を、平均が５０、標準偏差が１０になるように換算したもの</t>
  </si>
  <si>
    <t>（得点-平均点）Ｘ10÷標準偏差+50</t>
  </si>
  <si>
    <t>平均点</t>
  </si>
  <si>
    <t>標準偏差</t>
  </si>
  <si>
    <t>偏差値</t>
  </si>
  <si>
    <t>FREQUENCY：頻度分布を計算する</t>
  </si>
  <si>
    <t>得点分布</t>
  </si>
  <si>
    <t>範囲</t>
  </si>
  <si>
    <t>０～</t>
  </si>
  <si>
    <t>21～</t>
  </si>
  <si>
    <t>41～</t>
  </si>
  <si>
    <t>61～</t>
  </si>
  <si>
    <t>81～</t>
  </si>
  <si>
    <t>得点を２０点刻みの区間に分けて、</t>
  </si>
  <si>
    <t>区間毎に何人いるかを求める</t>
  </si>
  <si>
    <t>０～指定した値のデータの個数を返すので、</t>
  </si>
  <si>
    <t>何点以上何点迄のデータ個数を求める場合は</t>
  </si>
  <si>
    <t>何点以上までの分を引いてやる必要がある</t>
  </si>
  <si>
    <r>
      <t>この問題の場合、</t>
    </r>
    <r>
      <rPr>
        <sz val="11"/>
        <color indexed="12"/>
        <rFont val="ＭＳ Ｐゴシック"/>
        <family val="3"/>
      </rPr>
      <t>ＦＲＥＱＵＥＮＣＹ関数は</t>
    </r>
  </si>
  <si>
    <t>FREQUENCY($D$9:$D$23,G11)-FREQUENCY($D$9:$D$23,G10)</t>
  </si>
  <si>
    <t>２０点単位の点数分布を調べる</t>
  </si>
  <si>
    <t>データが全体の何番目かを調べる</t>
  </si>
  <si>
    <t>ＲＡＮＫ：順位を求める</t>
  </si>
  <si>
    <t>社内英語検定結果</t>
  </si>
  <si>
    <t>氏名</t>
  </si>
  <si>
    <t>前回順位</t>
  </si>
  <si>
    <t>順位</t>
  </si>
  <si>
    <t>大川　淳二</t>
  </si>
  <si>
    <t>金田　洋子</t>
  </si>
  <si>
    <t>近藤　智代</t>
  </si>
  <si>
    <t>桜井　忠</t>
  </si>
  <si>
    <t>杉田　佳代</t>
  </si>
  <si>
    <t>鈴木　美雪</t>
  </si>
  <si>
    <t>林　啓太</t>
  </si>
  <si>
    <t>本田　澄夫</t>
  </si>
  <si>
    <t>巻　浩二郎</t>
  </si>
  <si>
    <t>松浦　雄介</t>
  </si>
  <si>
    <t>水沼　幸子</t>
  </si>
  <si>
    <t>悠木　博</t>
  </si>
  <si>
    <t>検索用氏名</t>
  </si>
  <si>
    <t>上位5名</t>
  </si>
  <si>
    <t>ＶＬＯＯＫＵＰ：データベースから検索条件を指定して該当するものを返す</t>
  </si>
  <si>
    <r>
      <t>得点上位５名の名前を調べる</t>
    </r>
    <r>
      <rPr>
        <sz val="11"/>
        <rFont val="ＭＳ Ｐゴシック"/>
        <family val="3"/>
      </rPr>
      <t>（この場合データからフィルターオプションを使う手も有る）</t>
    </r>
  </si>
  <si>
    <t>※　氏名の欄と順位の欄が振り変わると</t>
  </si>
  <si>
    <r>
      <t>　　　</t>
    </r>
    <r>
      <rPr>
        <b/>
        <sz val="11"/>
        <color indexed="10"/>
        <rFont val="ＭＳ Ｐゴシック"/>
        <family val="3"/>
      </rPr>
      <t>エラーになるので要注意！！</t>
    </r>
  </si>
  <si>
    <t>ＶＬＯＯＫＵＰ</t>
  </si>
  <si>
    <t>仮順位表</t>
  </si>
  <si>
    <t>上位5位</t>
  </si>
  <si>
    <t>重み</t>
  </si>
  <si>
    <t>補正順位</t>
  </si>
  <si>
    <t>仮
順位</t>
  </si>
  <si>
    <t>検索用氏名</t>
  </si>
  <si>
    <t>※　人数が９９人以下なら0.01、９９９人以下なら0.001を加えて重み付けをする</t>
  </si>
  <si>
    <t>　　　（小数部の桁数が、人数の桁数と同じになる様にする）</t>
  </si>
  <si>
    <r>
      <t>同順位がいても上位５位までを表示する</t>
    </r>
    <r>
      <rPr>
        <b/>
        <sz val="12"/>
        <color indexed="10"/>
        <rFont val="ＭＳ Ｐゴシック"/>
        <family val="3"/>
      </rPr>
      <t>（同順位がいるとＶＬＯＯＫＵＰ関数ではエラーとなる）</t>
    </r>
  </si>
  <si>
    <t>“重み付け”の工夫で対処する</t>
  </si>
  <si>
    <t>ＶＬＯＯＫＵＰ使用時同じ順位だとエラーになるので、便宜上重みを付加して</t>
  </si>
  <si>
    <t>補正順位を作って、一旦仮順位を作る</t>
  </si>
  <si>
    <t>ステップ１：氏名フィールドに仮順位に従って氏名をＶＬＯＯＫＵＰで求める</t>
  </si>
  <si>
    <t>ステップ２：氏名フィールドの氏名に対応する正しい順位を順位フィールドにＶＬＯＯＫＵＰで作る</t>
  </si>
  <si>
    <t>ステップ３：得点フィールドに得点をＶＬＯＯＫＵＰで作る</t>
  </si>
  <si>
    <t>所定のセルの値が５以下の時表示する</t>
  </si>
  <si>
    <t>条件に一致するかどうか判定する</t>
  </si>
  <si>
    <t>ＩＦ</t>
  </si>
  <si>
    <t>社内英語検定結果（合格条件：合計100点以上）</t>
  </si>
  <si>
    <t>筆記</t>
  </si>
  <si>
    <t>会話</t>
  </si>
  <si>
    <t>合計</t>
  </si>
  <si>
    <t>合否</t>
  </si>
  <si>
    <t>ランク</t>
  </si>
  <si>
    <t>得点に応じ「Ａ」「Ｂ」「Ｃ」「Ｄ」にランク分けする</t>
  </si>
  <si>
    <t>１７０以上</t>
  </si>
  <si>
    <t>120～１６９</t>
  </si>
  <si>
    <t>７０～１１９</t>
  </si>
  <si>
    <t>0～69</t>
  </si>
  <si>
    <t>Ａ</t>
  </si>
  <si>
    <t>Ｂ</t>
  </si>
  <si>
    <t>Ｃ</t>
  </si>
  <si>
    <t>Ｄ</t>
  </si>
  <si>
    <t>ランク分け基準</t>
  </si>
  <si>
    <t>Ifのネスト</t>
  </si>
  <si>
    <t>まず170以上はＡを作る</t>
  </si>
  <si>
    <t>　　　次に偽の場合の欄に７０～119</t>
  </si>
  <si>
    <t>　　　のＢとしてのＩＦのネストを作る</t>
  </si>
  <si>
    <t>　　　同じくＤの条件式を作る</t>
  </si>
  <si>
    <t>　　　同様にしてＣの条件式を作る</t>
  </si>
  <si>
    <t>「または」「かつ」「以外」で条件を指定</t>
  </si>
  <si>
    <t>ＯＲ</t>
  </si>
  <si>
    <t>ＩＦ</t>
  </si>
  <si>
    <t>ランク</t>
  </si>
  <si>
    <t>表彰者</t>
  </si>
  <si>
    <t>再テスト</t>
  </si>
  <si>
    <t>「以外」は　＜＞セル名で表す</t>
  </si>
  <si>
    <t>筆記、会話の成績が共に80以上の場合“表彰”</t>
  </si>
  <si>
    <t>筆記、会話の成績がどちらかでも３０未満の場合“再テスト”</t>
  </si>
  <si>
    <t>ランクＤは合格、それ以外は不合格</t>
  </si>
  <si>
    <t>　　　表彰者の式</t>
  </si>
  <si>
    <t>再テストの式</t>
  </si>
  <si>
    <t>合否判定の式</t>
  </si>
  <si>
    <t>Ｅ８がＤで無い（Ｄが数字で無いので、""で括って置かないとエラーになる）</t>
  </si>
  <si>
    <t>ＰＥＲＣＥＮＴＲＡＮＫ：相対的な順位を計算する</t>
  </si>
  <si>
    <t>社内英語検定結果（合格条件：上位50％）</t>
  </si>
  <si>
    <t>受験者の上位５０パーセントを合格と判定する（合格者を相対評価で決めたい時）</t>
  </si>
  <si>
    <r>
      <t>データ全体のなかで、指定したデータの相対的な位置（</t>
    </r>
    <r>
      <rPr>
        <sz val="11"/>
        <color indexed="10"/>
        <rFont val="ＭＳ Ｐゴシック"/>
        <family val="3"/>
      </rPr>
      <t>最上位を１、最下位を０</t>
    </r>
    <r>
      <rPr>
        <sz val="11"/>
        <rFont val="ＭＳ Ｐゴシック"/>
        <family val="3"/>
      </rPr>
      <t>とした場合の数値）</t>
    </r>
  </si>
  <si>
    <t>ステップ３：この時点では、</t>
  </si>
  <si>
    <t>　　出来上がった式“IF(PERCENTRANK($D$8:$D$17,D8,2),"合格","")”は未完成！！</t>
  </si>
  <si>
    <r>
      <t>ＩＦ（ＰＥＲＣＥＮＴＲＡＮＫ（＄Ｄ＄８：＄Ｄ＄17，Ｄ８，２）に</t>
    </r>
    <r>
      <rPr>
        <sz val="11"/>
        <color indexed="10"/>
        <rFont val="ＭＳ Ｐゴシック"/>
        <family val="3"/>
      </rPr>
      <t>&gt;=0.5</t>
    </r>
    <r>
      <rPr>
        <sz val="11"/>
        <rFont val="ＭＳ Ｐゴシック"/>
        <family val="3"/>
      </rPr>
      <t>を加える</t>
    </r>
  </si>
  <si>
    <t>上位５０％</t>
  </si>
  <si>
    <t>プレゼント当選者をランダムに選ぶ</t>
  </si>
  <si>
    <t>ＲＡＮＤ：乱数を０以上１未満で返す</t>
  </si>
  <si>
    <t>会員名簿</t>
  </si>
  <si>
    <t>前回の当選結果（値貼り付け）</t>
  </si>
  <si>
    <t>会員番号</t>
  </si>
  <si>
    <t>会員名</t>
  </si>
  <si>
    <t>乱数</t>
  </si>
  <si>
    <t>当選者</t>
  </si>
  <si>
    <t>松下裕美</t>
  </si>
  <si>
    <t/>
  </si>
  <si>
    <t>小山健二</t>
  </si>
  <si>
    <t>○</t>
  </si>
  <si>
    <t>佐藤守男</t>
  </si>
  <si>
    <t>渡辺道行</t>
  </si>
  <si>
    <t>小森すみれ</t>
  </si>
  <si>
    <t>角田紀子</t>
  </si>
  <si>
    <t>大塚太</t>
  </si>
  <si>
    <t>瀬良隆</t>
  </si>
  <si>
    <t>前川信也</t>
  </si>
  <si>
    <t>鈴木晴美</t>
  </si>
  <si>
    <t>小室聡</t>
  </si>
  <si>
    <t>土屋啓二</t>
  </si>
  <si>
    <t>乱数で出した結果で、上位３人を</t>
  </si>
  <si>
    <t>○で表示する</t>
  </si>
  <si>
    <t>乱数を発生させただけ</t>
  </si>
  <si>
    <r>
      <t>ステップ３　：　IF(RANK(C7,$C$7:$C$18)</t>
    </r>
    <r>
      <rPr>
        <b/>
        <sz val="11"/>
        <color indexed="10"/>
        <rFont val="ＭＳ Ｐゴシック"/>
        <family val="3"/>
      </rPr>
      <t>&lt;=3</t>
    </r>
    <r>
      <rPr>
        <b/>
        <sz val="11"/>
        <rFont val="ＭＳ Ｐゴシック"/>
        <family val="3"/>
      </rPr>
      <t>,"○","")</t>
    </r>
  </si>
  <si>
    <t>出来上がった式に１位、２位、３位を○で表示する様にする</t>
  </si>
  <si>
    <t>ＲＡＮＤ関数はＥｎｔｅｒキーを押す度に</t>
  </si>
  <si>
    <t>乱数の発生再計算をするので</t>
  </si>
  <si>
    <t>Ｅｎｔｅｒキーを押す度に結果が変化する</t>
  </si>
  <si>
    <t>それを防止する為には</t>
  </si>
  <si>
    <t>ツール→オプション→計算方法タブ</t>
  </si>
  <si>
    <t>→自動を手動に変更する</t>
  </si>
  <si>
    <t>※　ポイント！！</t>
  </si>
  <si>
    <t>セルの値がエラーの時に表示を変える</t>
  </si>
  <si>
    <t>支店別売上実績（衣料品部門）</t>
  </si>
  <si>
    <t>支店</t>
  </si>
  <si>
    <t>前年度</t>
  </si>
  <si>
    <t>今年度</t>
  </si>
  <si>
    <t>前年比</t>
  </si>
  <si>
    <t>原宿店</t>
  </si>
  <si>
    <t>青山店</t>
  </si>
  <si>
    <t>調査中</t>
  </si>
  <si>
    <t>表参道店</t>
  </si>
  <si>
    <t>新宿店</t>
  </si>
  <si>
    <t>渋谷店</t>
  </si>
  <si>
    <t>セルの表示形式でパーセンテージを選択</t>
  </si>
  <si>
    <t>普通にするとこの様にエラー表示される</t>
  </si>
  <si>
    <t>エラーの場合“・・・”と表示したい時はＩＦのＩＳＥＲＲＯＲのネストで</t>
  </si>
  <si>
    <t>ＩＳＥＲＲＯＲ：セルの値がエラーかどうか調べる（イズエラー）</t>
  </si>
  <si>
    <t>ＩＳＢＬＡＮＫ：空欄かどうか調べる（イズブランク）</t>
  </si>
  <si>
    <t>ＩＳＮＵＭＢＥＲ：数値かどうか調べる（イズナンバー）</t>
  </si>
  <si>
    <t>ＩＳＴＥＸＴ：文字列かどうか調べる（イズテキスト）</t>
  </si>
  <si>
    <t>何日と何時間何分表示したければｄ：ｈ：ｍｍとユーザー定義する（[ｈ]：ｍｍにしている）</t>
  </si>
  <si>
    <r>
      <t>分を時間の１０進法に換算するにはシリアル値の</t>
    </r>
    <r>
      <rPr>
        <sz val="11"/>
        <color indexed="53"/>
        <rFont val="ＭＳ Ｐゴシック"/>
        <family val="3"/>
      </rPr>
      <t>１</t>
    </r>
    <r>
      <rPr>
        <sz val="11"/>
        <rFont val="ＭＳ Ｐゴシック"/>
        <family val="3"/>
      </rPr>
      <t>は</t>
    </r>
    <r>
      <rPr>
        <sz val="11"/>
        <color indexed="53"/>
        <rFont val="ＭＳ Ｐゴシック"/>
        <family val="3"/>
      </rPr>
      <t>２４</t>
    </r>
    <r>
      <rPr>
        <sz val="11"/>
        <rFont val="ＭＳ Ｐゴシック"/>
        <family val="3"/>
      </rPr>
      <t>時間（43：30のシリアル値は1.8125）</t>
    </r>
  </si>
  <si>
    <t>ＳＴＤＥＶＰ：標準偏差を計算する(スタンダードデヴィエーションピー）</t>
  </si>
  <si>
    <t>よく似た関数でＬＡＲＧＥ関数ＳＭＡＬＬ関数がある</t>
  </si>
  <si>
    <t>検索値の在るフィールドは範囲のフィールド１(一番左の欄）にもって来る事</t>
  </si>
  <si>
    <t>勤務時間と時給から給料を計算する</t>
  </si>
  <si>
    <t>英語検定結果の表に於いて、上位５名の氏名を求める</t>
  </si>
  <si>
    <t>この様な場合、表を選択してデータ→フィルター→オートフィルターで順位のフィールドを選んで</t>
  </si>
  <si>
    <t>オプション若しくはトップテンで設定するのが普通</t>
  </si>
  <si>
    <t>ステップ１：適当な位置に（Ｇ７：Ｈ１２）上位５名分の表を作り、フィールド名として順位と氏名を入力する</t>
  </si>
  <si>
    <t>又、前回順位の列も得点の列も順位の列も数値なので、検索値としての１位を指定しても</t>
  </si>
  <si>
    <t>どの１か分からないので前回順位の列と得点の列を切り離しておく必要がある</t>
  </si>
  <si>
    <t>又、Ｇ８：Ｇ１２に順位としての１～５を入力しておく</t>
  </si>
  <si>
    <t>ステップ２：まず、Ｄ列の各人の順位を求める・・・Ｄ７セルをクリックして関数の挿入でＲＡＮＫを選択する</t>
  </si>
  <si>
    <t>ＲＡＮＫ関数の引数ダイアログで数値欄にＣ７を指定して、範囲欄にＣ７：Ｃ１８を選択して絶対参照とする</t>
  </si>
  <si>
    <t>（今回の場合Ｅ列に新たに検索用氏名の欄を作った)</t>
  </si>
  <si>
    <t>Ｄ７セルをＤ１８迄オートフィルする</t>
  </si>
  <si>
    <t>ステップ３：Ｈ８セルを選択し、関数の挿入でＶＬＯＯＫＵＰを選択する</t>
  </si>
  <si>
    <t>ＶＬＯＯＫＵＰ関数の引数ダイアログで検索値の欄にＧ８を指定し、範囲の欄に</t>
  </si>
  <si>
    <t>Ｄ６：Ｅ１８を指定して絶対参照とする</t>
  </si>
  <si>
    <t>ステップ４：列番号の欄にフィールドとしての２を指定して検索の型の欄にぴったり一致のＦＡＬＳＥと入力する</t>
  </si>
  <si>
    <t>Ｈ８セルをＨ１２迄オートフィルする</t>
  </si>
  <si>
    <t>ここで注意！</t>
  </si>
  <si>
    <t>Ａ７２：Ｂ８４に対するＤ７３：Ｅ７８の表とＧ７２：Ｈ８４に対するＪ７３：Ｋ７８の表の様に</t>
  </si>
  <si>
    <t>氏名の欄と順位の欄が振り変わってしまうとエラーになる</t>
  </si>
  <si>
    <t>数式</t>
  </si>
  <si>
    <t>=VLOOKUP(G8,$D$6:$E$18,2,FALSE)</t>
  </si>
  <si>
    <t>=RANK(C7,$C$7:$C$18)</t>
  </si>
  <si>
    <t xml:space="preserve"> =VLOOKUP(D73,$A$72:$B$84,2,FALSE)</t>
  </si>
  <si>
    <t xml:space="preserve"> =VLOOKUP(J73,$G$72:$H$84,1,FALSE)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</si>
</sst>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0_ "/>
    <numFmt numFmtId="179" formatCode="0_);[Red]\(0\)"/>
    <numFmt numFmtId="180" formatCode="@&quot;月&quot;"/>
    <numFmt numFmtId="181" formatCode="[h]:mm"/>
    <numFmt numFmtId="182" formatCode="0.0_);[Red]\(0.0\)"/>
    <numFmt numFmtId="183" formatCode="0.00_);[Red]\(0.00\)"/>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m&quot;月&quot;d&quot;日&quot;\(aaa\)"/>
    <numFmt numFmtId="190" formatCode="0.0000000_ "/>
    <numFmt numFmtId="191" formatCode="0.000000_ "/>
    <numFmt numFmtId="192" formatCode="0.00000_ "/>
    <numFmt numFmtId="193" formatCode="0.0000_ "/>
    <numFmt numFmtId="194" formatCode="0.000_ "/>
    <numFmt numFmtId="195" formatCode="0.00_ "/>
    <numFmt numFmtId="196" formatCode="0.0%"/>
    <numFmt numFmtId="197" formatCode="h:mm;@"/>
  </numFmts>
  <fonts count="19">
    <font>
      <sz val="11"/>
      <name val="ＭＳ Ｐゴシック"/>
      <family val="3"/>
    </font>
    <font>
      <b/>
      <sz val="11"/>
      <name val="ＭＳ Ｐゴシック"/>
      <family val="3"/>
    </font>
    <font>
      <sz val="6"/>
      <name val="ＭＳ Ｐゴシック"/>
      <family val="3"/>
    </font>
    <font>
      <b/>
      <sz val="11"/>
      <color indexed="12"/>
      <name val="ＭＳ Ｐゴシック"/>
      <family val="3"/>
    </font>
    <font>
      <sz val="11"/>
      <color indexed="8"/>
      <name val="ＭＳ Ｐゴシック"/>
      <family val="3"/>
    </font>
    <font>
      <b/>
      <sz val="11"/>
      <color indexed="18"/>
      <name val="ＭＳ Ｐゴシック"/>
      <family val="3"/>
    </font>
    <font>
      <sz val="11"/>
      <color indexed="16"/>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53"/>
      <name val="ＭＳ Ｐゴシック"/>
      <family val="3"/>
    </font>
    <font>
      <sz val="11"/>
      <color indexed="12"/>
      <name val="ＭＳ Ｐゴシック"/>
      <family val="3"/>
    </font>
    <font>
      <b/>
      <sz val="12"/>
      <name val="ＭＳ Ｐゴシック"/>
      <family val="3"/>
    </font>
    <font>
      <sz val="11"/>
      <color indexed="60"/>
      <name val="ＭＳ Ｐゴシック"/>
      <family val="3"/>
    </font>
    <font>
      <b/>
      <sz val="12"/>
      <color indexed="10"/>
      <name val="ＭＳ Ｐゴシック"/>
      <family val="3"/>
    </font>
    <font>
      <sz val="11"/>
      <color indexed="14"/>
      <name val="ＭＳ Ｐゴシック"/>
      <family val="3"/>
    </font>
    <font>
      <b/>
      <sz val="10"/>
      <color indexed="12"/>
      <name val="ＭＳ Ｐゴシック"/>
      <family val="3"/>
    </font>
    <font>
      <sz val="8"/>
      <name val="ＭＳ Ｐゴシック"/>
      <family val="3"/>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0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6" fontId="0" fillId="0" borderId="1" xfId="0" applyNumberFormat="1" applyBorder="1" applyAlignment="1">
      <alignment vertical="center"/>
    </xf>
    <xf numFmtId="56" fontId="0" fillId="0" borderId="1" xfId="0" applyNumberFormat="1" applyBorder="1" applyAlignment="1">
      <alignment vertical="center"/>
    </xf>
    <xf numFmtId="177" fontId="0" fillId="2" borderId="1" xfId="0" applyNumberFormat="1" applyFill="1" applyBorder="1" applyAlignment="1">
      <alignment vertical="center"/>
    </xf>
    <xf numFmtId="0" fontId="4" fillId="0" borderId="0" xfId="0" applyFont="1" applyAlignment="1">
      <alignment vertical="center"/>
    </xf>
    <xf numFmtId="177" fontId="0" fillId="0" borderId="0" xfId="0" applyNumberFormat="1" applyFill="1" applyBorder="1" applyAlignment="1">
      <alignment vertical="center"/>
    </xf>
    <xf numFmtId="0" fontId="0" fillId="0" borderId="2" xfId="0" applyBorder="1" applyAlignment="1">
      <alignment vertical="center"/>
    </xf>
    <xf numFmtId="6" fontId="0" fillId="3" borderId="1" xfId="19" applyFill="1" applyBorder="1" applyAlignment="1">
      <alignment vertical="center"/>
    </xf>
    <xf numFmtId="6" fontId="0" fillId="0" borderId="0" xfId="0" applyNumberFormat="1" applyAlignment="1">
      <alignment vertical="center"/>
    </xf>
    <xf numFmtId="0" fontId="5" fillId="0" borderId="0" xfId="0" applyFont="1" applyAlignment="1">
      <alignment vertical="center"/>
    </xf>
    <xf numFmtId="0" fontId="0" fillId="4" borderId="1" xfId="0" applyFill="1" applyBorder="1" applyAlignment="1">
      <alignment vertical="center"/>
    </xf>
    <xf numFmtId="5" fontId="0" fillId="2" borderId="1" xfId="0" applyNumberFormat="1" applyFill="1" applyBorder="1" applyAlignment="1">
      <alignment vertical="center"/>
    </xf>
    <xf numFmtId="0" fontId="6" fillId="0" borderId="0" xfId="0" applyFont="1" applyAlignment="1">
      <alignment vertical="center"/>
    </xf>
    <xf numFmtId="6" fontId="0" fillId="2" borderId="1" xfId="19" applyFill="1" applyBorder="1" applyAlignment="1">
      <alignment vertical="center"/>
    </xf>
    <xf numFmtId="6" fontId="0" fillId="5" borderId="1" xfId="0" applyNumberFormat="1" applyFill="1" applyBorder="1" applyAlignment="1">
      <alignment vertical="center"/>
    </xf>
    <xf numFmtId="0" fontId="0" fillId="0" borderId="1" xfId="0" applyBorder="1" applyAlignment="1">
      <alignment horizontal="center" vertical="center"/>
    </xf>
    <xf numFmtId="178" fontId="0" fillId="2" borderId="1" xfId="0" applyNumberFormat="1" applyFill="1" applyBorder="1" applyAlignment="1">
      <alignment vertical="center"/>
    </xf>
    <xf numFmtId="179" fontId="0" fillId="2" borderId="1" xfId="0" applyNumberFormat="1" applyFill="1" applyBorder="1" applyAlignment="1">
      <alignment vertical="center"/>
    </xf>
    <xf numFmtId="0" fontId="0" fillId="2" borderId="1" xfId="0" applyFill="1" applyBorder="1" applyAlignment="1">
      <alignment vertical="center"/>
    </xf>
    <xf numFmtId="0" fontId="0" fillId="0" borderId="0" xfId="0" applyBorder="1" applyAlignment="1">
      <alignment vertical="center"/>
    </xf>
    <xf numFmtId="180" fontId="0" fillId="0" borderId="0" xfId="0" applyNumberFormat="1" applyBorder="1" applyAlignment="1">
      <alignment vertical="center"/>
    </xf>
    <xf numFmtId="6" fontId="0" fillId="0" borderId="0" xfId="0" applyNumberFormat="1" applyBorder="1" applyAlignment="1">
      <alignment vertical="center"/>
    </xf>
    <xf numFmtId="6" fontId="0" fillId="4" borderId="1" xfId="0" applyNumberFormat="1" applyFill="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6" borderId="1" xfId="0" applyFill="1" applyBorder="1" applyAlignment="1">
      <alignment vertical="center"/>
    </xf>
    <xf numFmtId="0" fontId="0" fillId="0" borderId="0" xfId="0" applyFill="1" applyBorder="1" applyAlignment="1">
      <alignment vertical="center"/>
    </xf>
    <xf numFmtId="0" fontId="10" fillId="0" borderId="0" xfId="0" applyFont="1" applyAlignment="1">
      <alignment vertical="center"/>
    </xf>
    <xf numFmtId="6" fontId="10" fillId="0" borderId="0" xfId="0" applyNumberFormat="1" applyFont="1" applyAlignment="1">
      <alignment vertical="center"/>
    </xf>
    <xf numFmtId="6" fontId="0" fillId="6" borderId="1" xfId="0" applyNumberFormat="1" applyFill="1" applyBorder="1" applyAlignment="1">
      <alignment vertical="center"/>
    </xf>
    <xf numFmtId="0" fontId="7" fillId="3" borderId="1" xfId="0" applyFont="1" applyFill="1" applyBorder="1" applyAlignment="1">
      <alignment vertical="center"/>
    </xf>
    <xf numFmtId="6" fontId="0" fillId="6" borderId="1" xfId="19" applyFill="1" applyBorder="1" applyAlignment="1">
      <alignment vertical="center"/>
    </xf>
    <xf numFmtId="0" fontId="0" fillId="4" borderId="1" xfId="0" applyFont="1" applyFill="1" applyBorder="1" applyAlignment="1">
      <alignment horizontal="center" vertical="center"/>
    </xf>
    <xf numFmtId="0" fontId="0" fillId="3" borderId="1" xfId="0" applyFill="1" applyBorder="1" applyAlignment="1">
      <alignment horizontal="left" vertical="center"/>
    </xf>
    <xf numFmtId="6" fontId="0" fillId="0" borderId="1" xfId="19" applyBorder="1" applyAlignment="1">
      <alignment vertical="center"/>
    </xf>
    <xf numFmtId="0" fontId="0" fillId="4" borderId="1" xfId="0" applyFill="1" applyBorder="1" applyAlignment="1">
      <alignment horizontal="center" vertical="center"/>
    </xf>
    <xf numFmtId="0" fontId="0" fillId="0" borderId="1" xfId="0" applyFont="1" applyFill="1" applyBorder="1" applyAlignment="1">
      <alignment horizontal="left" vertical="center"/>
    </xf>
    <xf numFmtId="0" fontId="0" fillId="2" borderId="1" xfId="0" applyNumberFormat="1" applyFill="1" applyBorder="1" applyAlignment="1">
      <alignment vertical="center"/>
    </xf>
    <xf numFmtId="0" fontId="7" fillId="0" borderId="0" xfId="0" applyFont="1" applyAlignment="1">
      <alignment vertical="center"/>
    </xf>
    <xf numFmtId="20" fontId="0" fillId="7" borderId="1" xfId="19" applyNumberFormat="1" applyFill="1" applyBorder="1" applyAlignment="1" applyProtection="1">
      <alignment vertical="center"/>
      <protection locked="0"/>
    </xf>
    <xf numFmtId="20" fontId="0" fillId="7" borderId="1" xfId="0" applyNumberFormat="1" applyFill="1" applyBorder="1" applyAlignment="1">
      <alignment vertical="center"/>
    </xf>
    <xf numFmtId="181" fontId="0" fillId="7" borderId="1" xfId="0" applyNumberFormat="1" applyFill="1" applyBorder="1" applyAlignment="1">
      <alignment vertical="center"/>
    </xf>
    <xf numFmtId="0" fontId="0" fillId="7" borderId="0" xfId="0" applyFill="1" applyAlignment="1">
      <alignment vertical="center"/>
    </xf>
    <xf numFmtId="184" fontId="0" fillId="0" borderId="0" xfId="0" applyNumberFormat="1" applyAlignment="1">
      <alignment vertical="center"/>
    </xf>
    <xf numFmtId="0" fontId="0" fillId="4" borderId="3" xfId="0" applyFill="1" applyBorder="1" applyAlignment="1">
      <alignment horizontal="center" vertical="center"/>
    </xf>
    <xf numFmtId="0" fontId="0" fillId="0" borderId="3" xfId="0" applyBorder="1" applyAlignment="1">
      <alignment horizontal="center" vertical="center"/>
    </xf>
    <xf numFmtId="0" fontId="0" fillId="8" borderId="1" xfId="0" applyFill="1" applyBorder="1" applyAlignment="1">
      <alignment vertical="center"/>
    </xf>
    <xf numFmtId="6" fontId="0" fillId="0" borderId="3" xfId="0" applyNumberFormat="1" applyBorder="1" applyAlignment="1">
      <alignment vertical="center"/>
    </xf>
    <xf numFmtId="189" fontId="0" fillId="0" borderId="4" xfId="0" applyNumberFormat="1" applyBorder="1" applyAlignment="1">
      <alignment vertical="center"/>
    </xf>
    <xf numFmtId="20" fontId="0" fillId="0" borderId="5" xfId="0" applyNumberFormat="1" applyBorder="1" applyAlignment="1">
      <alignment vertical="center"/>
    </xf>
    <xf numFmtId="0" fontId="0" fillId="8" borderId="4" xfId="0" applyFill="1" applyBorder="1" applyAlignment="1">
      <alignment vertical="center"/>
    </xf>
    <xf numFmtId="6" fontId="0" fillId="0" borderId="5" xfId="0" applyNumberFormat="1" applyBorder="1" applyAlignment="1">
      <alignment vertical="center"/>
    </xf>
    <xf numFmtId="20" fontId="0" fillId="2" borderId="5" xfId="0" applyNumberFormat="1" applyFill="1" applyBorder="1" applyAlignment="1">
      <alignment vertical="center"/>
    </xf>
    <xf numFmtId="0" fontId="0" fillId="2" borderId="5" xfId="0" applyFill="1" applyBorder="1" applyAlignment="1">
      <alignment vertical="center"/>
    </xf>
    <xf numFmtId="181" fontId="0" fillId="2" borderId="3" xfId="0" applyNumberFormat="1" applyFill="1" applyBorder="1" applyAlignment="1">
      <alignment vertical="center"/>
    </xf>
    <xf numFmtId="181" fontId="0" fillId="2" borderId="5" xfId="0" applyNumberFormat="1" applyFill="1" applyBorder="1" applyAlignment="1">
      <alignment vertical="center"/>
    </xf>
    <xf numFmtId="6" fontId="0" fillId="2" borderId="3" xfId="0" applyNumberForma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195" fontId="0" fillId="2" borderId="1" xfId="0" applyNumberFormat="1" applyFill="1" applyBorder="1"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0" xfId="0" applyFill="1" applyAlignment="1">
      <alignment vertical="center"/>
    </xf>
    <xf numFmtId="0" fontId="0" fillId="6" borderId="1" xfId="0" applyFill="1" applyBorder="1" applyAlignment="1">
      <alignment vertical="center"/>
    </xf>
    <xf numFmtId="0" fontId="0" fillId="3" borderId="1" xfId="0" applyFill="1" applyBorder="1" applyAlignment="1">
      <alignment vertical="center"/>
    </xf>
    <xf numFmtId="0" fontId="0" fillId="0" borderId="6" xfId="0" applyFill="1" applyBorder="1" applyAlignment="1">
      <alignment horizontal="left" vertical="center"/>
    </xf>
    <xf numFmtId="0" fontId="0" fillId="0" borderId="0" xfId="0" applyAlignment="1">
      <alignment horizontal="left" vertical="center"/>
    </xf>
    <xf numFmtId="0" fontId="14" fillId="0" borderId="0" xfId="0" applyFont="1" applyAlignment="1">
      <alignment vertical="center"/>
    </xf>
    <xf numFmtId="195" fontId="0" fillId="6" borderId="1" xfId="0" applyNumberFormat="1" applyFill="1" applyBorder="1" applyAlignment="1">
      <alignment vertical="center"/>
    </xf>
    <xf numFmtId="184" fontId="0" fillId="3" borderId="1" xfId="0" applyNumberForma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Fill="1" applyBorder="1" applyAlignment="1">
      <alignment vertical="center"/>
    </xf>
    <xf numFmtId="195" fontId="0" fillId="0" borderId="1" xfId="0" applyNumberFormat="1" applyBorder="1" applyAlignment="1">
      <alignment vertical="center"/>
    </xf>
    <xf numFmtId="195" fontId="0" fillId="9" borderId="1" xfId="0" applyNumberFormat="1" applyFill="1" applyBorder="1" applyAlignment="1">
      <alignment vertical="center"/>
    </xf>
    <xf numFmtId="0" fontId="16" fillId="0" borderId="0" xfId="0" applyFont="1" applyAlignment="1">
      <alignment vertical="center"/>
    </xf>
    <xf numFmtId="0" fontId="0" fillId="7" borderId="1" xfId="0" applyFill="1" applyBorder="1" applyAlignment="1">
      <alignment vertical="center"/>
    </xf>
    <xf numFmtId="0" fontId="0" fillId="4" borderId="1" xfId="0" applyFill="1" applyBorder="1" applyAlignment="1">
      <alignment horizontal="center" vertical="center" wrapText="1"/>
    </xf>
    <xf numFmtId="0" fontId="0" fillId="4" borderId="1" xfId="0" applyNumberFormat="1" applyFill="1" applyBorder="1" applyAlignment="1">
      <alignment horizontal="center" vertical="center"/>
    </xf>
    <xf numFmtId="0" fontId="0" fillId="6" borderId="1" xfId="0" applyNumberFormat="1" applyFill="1" applyBorder="1" applyAlignment="1">
      <alignment vertical="center"/>
    </xf>
    <xf numFmtId="0" fontId="0" fillId="6"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Alignment="1">
      <alignment vertical="center"/>
    </xf>
    <xf numFmtId="0" fontId="15" fillId="0" borderId="0" xfId="0" applyFont="1" applyAlignment="1">
      <alignment vertical="center"/>
    </xf>
    <xf numFmtId="0" fontId="0" fillId="4" borderId="1" xfId="0" applyFill="1" applyBorder="1" applyAlignment="1">
      <alignment horizontal="center" vertical="center"/>
    </xf>
    <xf numFmtId="0" fontId="0" fillId="0" borderId="1" xfId="0" applyBorder="1" applyAlignment="1">
      <alignment vertical="center"/>
    </xf>
    <xf numFmtId="38" fontId="0" fillId="0" borderId="1" xfId="17" applyBorder="1" applyAlignment="1">
      <alignment vertical="center"/>
    </xf>
    <xf numFmtId="38" fontId="0" fillId="0" borderId="1" xfId="17" applyFont="1" applyBorder="1" applyAlignment="1">
      <alignment vertical="center"/>
    </xf>
    <xf numFmtId="196" fontId="0" fillId="6" borderId="1" xfId="15" applyNumberFormat="1" applyFill="1" applyBorder="1" applyAlignment="1">
      <alignment vertical="center"/>
    </xf>
    <xf numFmtId="196" fontId="0" fillId="6" borderId="1" xfId="0" applyNumberForma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 fillId="0" borderId="8" xfId="0" applyFont="1" applyBorder="1" applyAlignment="1">
      <alignment horizontal="center" vertical="center"/>
    </xf>
    <xf numFmtId="0" fontId="0" fillId="0" borderId="0" xfId="0" applyBorder="1" applyAlignment="1">
      <alignment horizontal="right" vertical="center"/>
    </xf>
    <xf numFmtId="0" fontId="0" fillId="6" borderId="1" xfId="0" applyFill="1" applyBorder="1" applyAlignment="1" quotePrefix="1">
      <alignment vertical="center"/>
    </xf>
    <xf numFmtId="0" fontId="0" fillId="0" borderId="0" xfId="0" applyFill="1" applyBorder="1" applyAlignment="1" quotePrefix="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9.png"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28.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 Id="rId3" Type="http://schemas.openxmlformats.org/officeDocument/2006/relationships/image" Target="../media/image2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24.png" /><Relationship Id="rId3" Type="http://schemas.openxmlformats.org/officeDocument/2006/relationships/image" Target="../media/image2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6.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5</xdr:row>
      <xdr:rowOff>95250</xdr:rowOff>
    </xdr:from>
    <xdr:to>
      <xdr:col>7</xdr:col>
      <xdr:colOff>228600</xdr:colOff>
      <xdr:row>9</xdr:row>
      <xdr:rowOff>95250</xdr:rowOff>
    </xdr:to>
    <xdr:sp>
      <xdr:nvSpPr>
        <xdr:cNvPr id="1" name="AutoShape 3"/>
        <xdr:cNvSpPr>
          <a:spLocks/>
        </xdr:cNvSpPr>
      </xdr:nvSpPr>
      <xdr:spPr>
        <a:xfrm>
          <a:off x="4857750" y="952500"/>
          <a:ext cx="17145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12</xdr:row>
      <xdr:rowOff>114300</xdr:rowOff>
    </xdr:from>
    <xdr:to>
      <xdr:col>7</xdr:col>
      <xdr:colOff>285750</xdr:colOff>
      <xdr:row>16</xdr:row>
      <xdr:rowOff>142875</xdr:rowOff>
    </xdr:to>
    <xdr:sp>
      <xdr:nvSpPr>
        <xdr:cNvPr id="2" name="AutoShape 4"/>
        <xdr:cNvSpPr>
          <a:spLocks/>
        </xdr:cNvSpPr>
      </xdr:nvSpPr>
      <xdr:spPr>
        <a:xfrm>
          <a:off x="4867275" y="2171700"/>
          <a:ext cx="2190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9</xdr:row>
      <xdr:rowOff>161925</xdr:rowOff>
    </xdr:from>
    <xdr:to>
      <xdr:col>10</xdr:col>
      <xdr:colOff>381000</xdr:colOff>
      <xdr:row>24</xdr:row>
      <xdr:rowOff>0</xdr:rowOff>
    </xdr:to>
    <xdr:pic>
      <xdr:nvPicPr>
        <xdr:cNvPr id="1" name="Picture 1"/>
        <xdr:cNvPicPr preferRelativeResize="1">
          <a:picLocks noChangeAspect="1"/>
        </xdr:cNvPicPr>
      </xdr:nvPicPr>
      <xdr:blipFill>
        <a:blip r:embed="rId1"/>
        <a:stretch>
          <a:fillRect/>
        </a:stretch>
      </xdr:blipFill>
      <xdr:spPr>
        <a:xfrm>
          <a:off x="2733675" y="1724025"/>
          <a:ext cx="4505325" cy="2409825"/>
        </a:xfrm>
        <a:prstGeom prst="rect">
          <a:avLst/>
        </a:prstGeom>
        <a:noFill/>
        <a:ln w="1" cmpd="sng">
          <a:noFill/>
        </a:ln>
      </xdr:spPr>
    </xdr:pic>
    <xdr:clientData/>
  </xdr:twoCellAnchor>
  <xdr:twoCellAnchor>
    <xdr:from>
      <xdr:col>3</xdr:col>
      <xdr:colOff>57150</xdr:colOff>
      <xdr:row>11</xdr:row>
      <xdr:rowOff>76200</xdr:rowOff>
    </xdr:from>
    <xdr:to>
      <xdr:col>4</xdr:col>
      <xdr:colOff>657225</xdr:colOff>
      <xdr:row>13</xdr:row>
      <xdr:rowOff>28575</xdr:rowOff>
    </xdr:to>
    <xdr:sp>
      <xdr:nvSpPr>
        <xdr:cNvPr id="2" name="Line 2"/>
        <xdr:cNvSpPr>
          <a:spLocks/>
        </xdr:cNvSpPr>
      </xdr:nvSpPr>
      <xdr:spPr>
        <a:xfrm flipH="1" flipV="1">
          <a:off x="2114550" y="1981200"/>
          <a:ext cx="1285875" cy="2952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11</xdr:row>
      <xdr:rowOff>161925</xdr:rowOff>
    </xdr:from>
    <xdr:to>
      <xdr:col>12</xdr:col>
      <xdr:colOff>171450</xdr:colOff>
      <xdr:row>27</xdr:row>
      <xdr:rowOff>28575</xdr:rowOff>
    </xdr:to>
    <xdr:pic>
      <xdr:nvPicPr>
        <xdr:cNvPr id="1" name="Picture 1"/>
        <xdr:cNvPicPr preferRelativeResize="1">
          <a:picLocks noChangeAspect="1"/>
        </xdr:cNvPicPr>
      </xdr:nvPicPr>
      <xdr:blipFill>
        <a:blip r:embed="rId1"/>
        <a:stretch>
          <a:fillRect/>
        </a:stretch>
      </xdr:blipFill>
      <xdr:spPr>
        <a:xfrm>
          <a:off x="3143250" y="2057400"/>
          <a:ext cx="4505325" cy="2609850"/>
        </a:xfrm>
        <a:prstGeom prst="rect">
          <a:avLst/>
        </a:prstGeom>
        <a:noFill/>
        <a:ln w="1" cmpd="sng">
          <a:noFill/>
        </a:ln>
      </xdr:spPr>
    </xdr:pic>
    <xdr:clientData/>
  </xdr:twoCellAnchor>
  <xdr:twoCellAnchor>
    <xdr:from>
      <xdr:col>4</xdr:col>
      <xdr:colOff>76200</xdr:colOff>
      <xdr:row>13</xdr:row>
      <xdr:rowOff>47625</xdr:rowOff>
    </xdr:from>
    <xdr:to>
      <xdr:col>5</xdr:col>
      <xdr:colOff>400050</xdr:colOff>
      <xdr:row>15</xdr:row>
      <xdr:rowOff>47625</xdr:rowOff>
    </xdr:to>
    <xdr:sp>
      <xdr:nvSpPr>
        <xdr:cNvPr id="2" name="Line 2"/>
        <xdr:cNvSpPr>
          <a:spLocks/>
        </xdr:cNvSpPr>
      </xdr:nvSpPr>
      <xdr:spPr>
        <a:xfrm flipH="1" flipV="1">
          <a:off x="3048000" y="2286000"/>
          <a:ext cx="495300" cy="3429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6</xdr:row>
      <xdr:rowOff>38100</xdr:rowOff>
    </xdr:from>
    <xdr:to>
      <xdr:col>6</xdr:col>
      <xdr:colOff>152400</xdr:colOff>
      <xdr:row>17</xdr:row>
      <xdr:rowOff>57150</xdr:rowOff>
    </xdr:to>
    <xdr:sp>
      <xdr:nvSpPr>
        <xdr:cNvPr id="3" name="Line 3"/>
        <xdr:cNvSpPr>
          <a:spLocks/>
        </xdr:cNvSpPr>
      </xdr:nvSpPr>
      <xdr:spPr>
        <a:xfrm flipH="1" flipV="1">
          <a:off x="3962400" y="1076325"/>
          <a:ext cx="19050" cy="19050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16</xdr:row>
      <xdr:rowOff>66675</xdr:rowOff>
    </xdr:from>
    <xdr:to>
      <xdr:col>5</xdr:col>
      <xdr:colOff>523875</xdr:colOff>
      <xdr:row>24</xdr:row>
      <xdr:rowOff>76200</xdr:rowOff>
    </xdr:to>
    <xdr:sp>
      <xdr:nvSpPr>
        <xdr:cNvPr id="4" name="Line 4"/>
        <xdr:cNvSpPr>
          <a:spLocks/>
        </xdr:cNvSpPr>
      </xdr:nvSpPr>
      <xdr:spPr>
        <a:xfrm flipV="1">
          <a:off x="2447925" y="2819400"/>
          <a:ext cx="1219200" cy="13811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133350</xdr:rowOff>
    </xdr:from>
    <xdr:to>
      <xdr:col>7</xdr:col>
      <xdr:colOff>171450</xdr:colOff>
      <xdr:row>8</xdr:row>
      <xdr:rowOff>76200</xdr:rowOff>
    </xdr:to>
    <xdr:sp>
      <xdr:nvSpPr>
        <xdr:cNvPr id="5" name="Line 5"/>
        <xdr:cNvSpPr>
          <a:spLocks/>
        </xdr:cNvSpPr>
      </xdr:nvSpPr>
      <xdr:spPr>
        <a:xfrm flipH="1">
          <a:off x="4514850" y="1343025"/>
          <a:ext cx="171450" cy="114300"/>
        </a:xfrm>
        <a:prstGeom prst="line">
          <a:avLst/>
        </a:prstGeom>
        <a:noFill/>
        <a:ln w="19050"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9</xdr:row>
      <xdr:rowOff>104775</xdr:rowOff>
    </xdr:from>
    <xdr:to>
      <xdr:col>7</xdr:col>
      <xdr:colOff>190500</xdr:colOff>
      <xdr:row>9</xdr:row>
      <xdr:rowOff>114300</xdr:rowOff>
    </xdr:to>
    <xdr:sp>
      <xdr:nvSpPr>
        <xdr:cNvPr id="6" name="Line 6"/>
        <xdr:cNvSpPr>
          <a:spLocks/>
        </xdr:cNvSpPr>
      </xdr:nvSpPr>
      <xdr:spPr>
        <a:xfrm flipH="1" flipV="1">
          <a:off x="4533900" y="1657350"/>
          <a:ext cx="171450" cy="95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13</xdr:row>
      <xdr:rowOff>95250</xdr:rowOff>
    </xdr:from>
    <xdr:to>
      <xdr:col>10</xdr:col>
      <xdr:colOff>609600</xdr:colOff>
      <xdr:row>28</xdr:row>
      <xdr:rowOff>133350</xdr:rowOff>
    </xdr:to>
    <xdr:pic>
      <xdr:nvPicPr>
        <xdr:cNvPr id="1" name="Picture 2"/>
        <xdr:cNvPicPr preferRelativeResize="1">
          <a:picLocks noChangeAspect="1"/>
        </xdr:cNvPicPr>
      </xdr:nvPicPr>
      <xdr:blipFill>
        <a:blip r:embed="rId1"/>
        <a:stretch>
          <a:fillRect/>
        </a:stretch>
      </xdr:blipFill>
      <xdr:spPr>
        <a:xfrm>
          <a:off x="2962275" y="2324100"/>
          <a:ext cx="4505325" cy="2609850"/>
        </a:xfrm>
        <a:prstGeom prst="rect">
          <a:avLst/>
        </a:prstGeom>
        <a:noFill/>
        <a:ln w="1" cmpd="sng">
          <a:noFill/>
        </a:ln>
      </xdr:spPr>
    </xdr:pic>
    <xdr:clientData/>
  </xdr:twoCellAnchor>
  <xdr:twoCellAnchor>
    <xdr:from>
      <xdr:col>4</xdr:col>
      <xdr:colOff>19050</xdr:colOff>
      <xdr:row>12</xdr:row>
      <xdr:rowOff>0</xdr:rowOff>
    </xdr:from>
    <xdr:to>
      <xdr:col>4</xdr:col>
      <xdr:colOff>647700</xdr:colOff>
      <xdr:row>16</xdr:row>
      <xdr:rowOff>123825</xdr:rowOff>
    </xdr:to>
    <xdr:sp>
      <xdr:nvSpPr>
        <xdr:cNvPr id="2" name="Line 3"/>
        <xdr:cNvSpPr>
          <a:spLocks/>
        </xdr:cNvSpPr>
      </xdr:nvSpPr>
      <xdr:spPr>
        <a:xfrm flipH="1" flipV="1">
          <a:off x="2762250" y="2057400"/>
          <a:ext cx="628650" cy="8096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6</xdr:row>
      <xdr:rowOff>114300</xdr:rowOff>
    </xdr:from>
    <xdr:to>
      <xdr:col>5</xdr:col>
      <xdr:colOff>438150</xdr:colOff>
      <xdr:row>17</xdr:row>
      <xdr:rowOff>123825</xdr:rowOff>
    </xdr:to>
    <xdr:sp>
      <xdr:nvSpPr>
        <xdr:cNvPr id="3" name="Line 4"/>
        <xdr:cNvSpPr>
          <a:spLocks/>
        </xdr:cNvSpPr>
      </xdr:nvSpPr>
      <xdr:spPr>
        <a:xfrm flipH="1" flipV="1">
          <a:off x="2571750" y="1143000"/>
          <a:ext cx="1295400" cy="18954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8</xdr:row>
      <xdr:rowOff>19050</xdr:rowOff>
    </xdr:from>
    <xdr:to>
      <xdr:col>8</xdr:col>
      <xdr:colOff>257175</xdr:colOff>
      <xdr:row>19</xdr:row>
      <xdr:rowOff>76200</xdr:rowOff>
    </xdr:to>
    <xdr:sp>
      <xdr:nvSpPr>
        <xdr:cNvPr id="4" name="Line 5"/>
        <xdr:cNvSpPr>
          <a:spLocks/>
        </xdr:cNvSpPr>
      </xdr:nvSpPr>
      <xdr:spPr>
        <a:xfrm flipH="1" flipV="1">
          <a:off x="4181475" y="1390650"/>
          <a:ext cx="1562100" cy="19431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15</xdr:row>
      <xdr:rowOff>152400</xdr:rowOff>
    </xdr:from>
    <xdr:to>
      <xdr:col>14</xdr:col>
      <xdr:colOff>428625</xdr:colOff>
      <xdr:row>29</xdr:row>
      <xdr:rowOff>161925</xdr:rowOff>
    </xdr:to>
    <xdr:pic>
      <xdr:nvPicPr>
        <xdr:cNvPr id="1" name="Picture 1"/>
        <xdr:cNvPicPr preferRelativeResize="1">
          <a:picLocks noChangeAspect="1"/>
        </xdr:cNvPicPr>
      </xdr:nvPicPr>
      <xdr:blipFill>
        <a:blip r:embed="rId1"/>
        <a:stretch>
          <a:fillRect/>
        </a:stretch>
      </xdr:blipFill>
      <xdr:spPr>
        <a:xfrm>
          <a:off x="4400550" y="2771775"/>
          <a:ext cx="4505325" cy="2409825"/>
        </a:xfrm>
        <a:prstGeom prst="rect">
          <a:avLst/>
        </a:prstGeom>
        <a:noFill/>
        <a:ln w="1" cmpd="sng">
          <a:noFill/>
        </a:ln>
      </xdr:spPr>
    </xdr:pic>
    <xdr:clientData/>
  </xdr:twoCellAnchor>
  <xdr:twoCellAnchor>
    <xdr:from>
      <xdr:col>4</xdr:col>
      <xdr:colOff>38100</xdr:colOff>
      <xdr:row>15</xdr:row>
      <xdr:rowOff>9525</xdr:rowOff>
    </xdr:from>
    <xdr:to>
      <xdr:col>7</xdr:col>
      <xdr:colOff>676275</xdr:colOff>
      <xdr:row>19</xdr:row>
      <xdr:rowOff>28575</xdr:rowOff>
    </xdr:to>
    <xdr:sp>
      <xdr:nvSpPr>
        <xdr:cNvPr id="2" name="Line 2"/>
        <xdr:cNvSpPr>
          <a:spLocks/>
        </xdr:cNvSpPr>
      </xdr:nvSpPr>
      <xdr:spPr>
        <a:xfrm flipH="1" flipV="1">
          <a:off x="2781300" y="2628900"/>
          <a:ext cx="2000250" cy="7048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10</xdr:row>
      <xdr:rowOff>104775</xdr:rowOff>
    </xdr:from>
    <xdr:to>
      <xdr:col>8</xdr:col>
      <xdr:colOff>257175</xdr:colOff>
      <xdr:row>20</xdr:row>
      <xdr:rowOff>9525</xdr:rowOff>
    </xdr:to>
    <xdr:sp>
      <xdr:nvSpPr>
        <xdr:cNvPr id="3" name="Line 3"/>
        <xdr:cNvSpPr>
          <a:spLocks/>
        </xdr:cNvSpPr>
      </xdr:nvSpPr>
      <xdr:spPr>
        <a:xfrm flipH="1" flipV="1">
          <a:off x="4133850" y="1866900"/>
          <a:ext cx="914400" cy="16192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11</xdr:row>
      <xdr:rowOff>104775</xdr:rowOff>
    </xdr:from>
    <xdr:to>
      <xdr:col>9</xdr:col>
      <xdr:colOff>9525</xdr:colOff>
      <xdr:row>11</xdr:row>
      <xdr:rowOff>104775</xdr:rowOff>
    </xdr:to>
    <xdr:sp>
      <xdr:nvSpPr>
        <xdr:cNvPr id="4" name="Line 4"/>
        <xdr:cNvSpPr>
          <a:spLocks/>
        </xdr:cNvSpPr>
      </xdr:nvSpPr>
      <xdr:spPr>
        <a:xfrm>
          <a:off x="4781550" y="2038350"/>
          <a:ext cx="276225" cy="0"/>
        </a:xfrm>
        <a:prstGeom prst="line">
          <a:avLst/>
        </a:prstGeom>
        <a:noFill/>
        <a:ln w="285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xdr:row>
      <xdr:rowOff>0</xdr:rowOff>
    </xdr:from>
    <xdr:to>
      <xdr:col>11</xdr:col>
      <xdr:colOff>390525</xdr:colOff>
      <xdr:row>20</xdr:row>
      <xdr:rowOff>38100</xdr:rowOff>
    </xdr:to>
    <xdr:pic>
      <xdr:nvPicPr>
        <xdr:cNvPr id="1" name="Picture 1"/>
        <xdr:cNvPicPr preferRelativeResize="1">
          <a:picLocks noChangeAspect="1"/>
        </xdr:cNvPicPr>
      </xdr:nvPicPr>
      <xdr:blipFill>
        <a:blip r:embed="rId1"/>
        <a:stretch>
          <a:fillRect/>
        </a:stretch>
      </xdr:blipFill>
      <xdr:spPr>
        <a:xfrm>
          <a:off x="3429000" y="876300"/>
          <a:ext cx="4505325" cy="2609850"/>
        </a:xfrm>
        <a:prstGeom prst="rect">
          <a:avLst/>
        </a:prstGeom>
        <a:noFill/>
        <a:ln w="1" cmpd="sng">
          <a:noFill/>
        </a:ln>
      </xdr:spPr>
    </xdr:pic>
    <xdr:clientData/>
  </xdr:twoCellAnchor>
  <xdr:twoCellAnchor>
    <xdr:from>
      <xdr:col>2</xdr:col>
      <xdr:colOff>666750</xdr:colOff>
      <xdr:row>6</xdr:row>
      <xdr:rowOff>123825</xdr:rowOff>
    </xdr:from>
    <xdr:to>
      <xdr:col>6</xdr:col>
      <xdr:colOff>9525</xdr:colOff>
      <xdr:row>8</xdr:row>
      <xdr:rowOff>47625</xdr:rowOff>
    </xdr:to>
    <xdr:sp>
      <xdr:nvSpPr>
        <xdr:cNvPr id="2" name="Line 2"/>
        <xdr:cNvSpPr>
          <a:spLocks/>
        </xdr:cNvSpPr>
      </xdr:nvSpPr>
      <xdr:spPr>
        <a:xfrm flipH="1" flipV="1">
          <a:off x="2038350" y="1171575"/>
          <a:ext cx="2085975" cy="2667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xdr:row>
      <xdr:rowOff>38100</xdr:rowOff>
    </xdr:from>
    <xdr:to>
      <xdr:col>3</xdr:col>
      <xdr:colOff>371475</xdr:colOff>
      <xdr:row>17</xdr:row>
      <xdr:rowOff>133350</xdr:rowOff>
    </xdr:to>
    <xdr:sp>
      <xdr:nvSpPr>
        <xdr:cNvPr id="3" name="AutoShape 3"/>
        <xdr:cNvSpPr>
          <a:spLocks/>
        </xdr:cNvSpPr>
      </xdr:nvSpPr>
      <xdr:spPr>
        <a:xfrm>
          <a:off x="2095500" y="1085850"/>
          <a:ext cx="333375" cy="1981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9</xdr:row>
      <xdr:rowOff>66675</xdr:rowOff>
    </xdr:from>
    <xdr:to>
      <xdr:col>6</xdr:col>
      <xdr:colOff>38100</xdr:colOff>
      <xdr:row>11</xdr:row>
      <xdr:rowOff>85725</xdr:rowOff>
    </xdr:to>
    <xdr:sp>
      <xdr:nvSpPr>
        <xdr:cNvPr id="4" name="Line 4"/>
        <xdr:cNvSpPr>
          <a:spLocks/>
        </xdr:cNvSpPr>
      </xdr:nvSpPr>
      <xdr:spPr>
        <a:xfrm flipH="1">
          <a:off x="2466975" y="1628775"/>
          <a:ext cx="1685925" cy="3619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76</xdr:row>
      <xdr:rowOff>123825</xdr:rowOff>
    </xdr:from>
    <xdr:to>
      <xdr:col>10</xdr:col>
      <xdr:colOff>95250</xdr:colOff>
      <xdr:row>77</xdr:row>
      <xdr:rowOff>161925</xdr:rowOff>
    </xdr:to>
    <xdr:sp>
      <xdr:nvSpPr>
        <xdr:cNvPr id="1" name="Line 1"/>
        <xdr:cNvSpPr>
          <a:spLocks/>
        </xdr:cNvSpPr>
      </xdr:nvSpPr>
      <xdr:spPr>
        <a:xfrm flipV="1">
          <a:off x="5362575" y="13173075"/>
          <a:ext cx="95250" cy="209550"/>
        </a:xfrm>
        <a:prstGeom prst="line">
          <a:avLst/>
        </a:prstGeom>
        <a:noFill/>
        <a:ln w="19050"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79</xdr:row>
      <xdr:rowOff>104775</xdr:rowOff>
    </xdr:from>
    <xdr:to>
      <xdr:col>9</xdr:col>
      <xdr:colOff>0</xdr:colOff>
      <xdr:row>81</xdr:row>
      <xdr:rowOff>152400</xdr:rowOff>
    </xdr:to>
    <xdr:sp>
      <xdr:nvSpPr>
        <xdr:cNvPr id="2" name="Line 2"/>
        <xdr:cNvSpPr>
          <a:spLocks/>
        </xdr:cNvSpPr>
      </xdr:nvSpPr>
      <xdr:spPr>
        <a:xfrm flipV="1">
          <a:off x="4838700" y="13668375"/>
          <a:ext cx="142875" cy="3905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79</xdr:row>
      <xdr:rowOff>57150</xdr:rowOff>
    </xdr:from>
    <xdr:to>
      <xdr:col>9</xdr:col>
      <xdr:colOff>0</xdr:colOff>
      <xdr:row>81</xdr:row>
      <xdr:rowOff>85725</xdr:rowOff>
    </xdr:to>
    <xdr:sp>
      <xdr:nvSpPr>
        <xdr:cNvPr id="3" name="Line 3"/>
        <xdr:cNvSpPr>
          <a:spLocks/>
        </xdr:cNvSpPr>
      </xdr:nvSpPr>
      <xdr:spPr>
        <a:xfrm flipV="1">
          <a:off x="1619250" y="13620750"/>
          <a:ext cx="3362325" cy="3714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9525</xdr:colOff>
      <xdr:row>29</xdr:row>
      <xdr:rowOff>66675</xdr:rowOff>
    </xdr:from>
    <xdr:to>
      <xdr:col>7</xdr:col>
      <xdr:colOff>438150</xdr:colOff>
      <xdr:row>44</xdr:row>
      <xdr:rowOff>104775</xdr:rowOff>
    </xdr:to>
    <xdr:pic>
      <xdr:nvPicPr>
        <xdr:cNvPr id="4" name="Picture 12"/>
        <xdr:cNvPicPr preferRelativeResize="1">
          <a:picLocks noChangeAspect="1"/>
        </xdr:cNvPicPr>
      </xdr:nvPicPr>
      <xdr:blipFill>
        <a:blip r:embed="rId1"/>
        <a:stretch>
          <a:fillRect/>
        </a:stretch>
      </xdr:blipFill>
      <xdr:spPr>
        <a:xfrm>
          <a:off x="9525" y="5057775"/>
          <a:ext cx="4505325" cy="2609850"/>
        </a:xfrm>
        <a:prstGeom prst="rect">
          <a:avLst/>
        </a:prstGeom>
        <a:noFill/>
        <a:ln w="1" cmpd="sng">
          <a:noFill/>
        </a:ln>
      </xdr:spPr>
    </xdr:pic>
    <xdr:clientData/>
  </xdr:twoCellAnchor>
  <xdr:twoCellAnchor>
    <xdr:from>
      <xdr:col>1</xdr:col>
      <xdr:colOff>409575</xdr:colOff>
      <xdr:row>29</xdr:row>
      <xdr:rowOff>95250</xdr:rowOff>
    </xdr:from>
    <xdr:to>
      <xdr:col>2</xdr:col>
      <xdr:colOff>266700</xdr:colOff>
      <xdr:row>30</xdr:row>
      <xdr:rowOff>133350</xdr:rowOff>
    </xdr:to>
    <xdr:sp>
      <xdr:nvSpPr>
        <xdr:cNvPr id="5" name="TextBox 13"/>
        <xdr:cNvSpPr txBox="1">
          <a:spLocks noChangeArrowheads="1"/>
        </xdr:cNvSpPr>
      </xdr:nvSpPr>
      <xdr:spPr>
        <a:xfrm>
          <a:off x="1200150" y="5086350"/>
          <a:ext cx="6477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editAs="oneCell">
    <xdr:from>
      <xdr:col>0</xdr:col>
      <xdr:colOff>0</xdr:colOff>
      <xdr:row>50</xdr:row>
      <xdr:rowOff>47625</xdr:rowOff>
    </xdr:from>
    <xdr:to>
      <xdr:col>7</xdr:col>
      <xdr:colOff>428625</xdr:colOff>
      <xdr:row>66</xdr:row>
      <xdr:rowOff>114300</xdr:rowOff>
    </xdr:to>
    <xdr:pic>
      <xdr:nvPicPr>
        <xdr:cNvPr id="6" name="Picture 14"/>
        <xdr:cNvPicPr preferRelativeResize="1">
          <a:picLocks noChangeAspect="1"/>
        </xdr:cNvPicPr>
      </xdr:nvPicPr>
      <xdr:blipFill>
        <a:blip r:embed="rId2"/>
        <a:stretch>
          <a:fillRect/>
        </a:stretch>
      </xdr:blipFill>
      <xdr:spPr>
        <a:xfrm>
          <a:off x="0" y="8639175"/>
          <a:ext cx="4505325" cy="2809875"/>
        </a:xfrm>
        <a:prstGeom prst="rect">
          <a:avLst/>
        </a:prstGeom>
        <a:noFill/>
        <a:ln w="1" cmpd="sng">
          <a:noFill/>
        </a:ln>
      </xdr:spPr>
    </xdr:pic>
    <xdr:clientData/>
  </xdr:twoCellAnchor>
  <xdr:twoCellAnchor>
    <xdr:from>
      <xdr:col>1</xdr:col>
      <xdr:colOff>266700</xdr:colOff>
      <xdr:row>50</xdr:row>
      <xdr:rowOff>95250</xdr:rowOff>
    </xdr:from>
    <xdr:to>
      <xdr:col>2</xdr:col>
      <xdr:colOff>428625</xdr:colOff>
      <xdr:row>51</xdr:row>
      <xdr:rowOff>114300</xdr:rowOff>
    </xdr:to>
    <xdr:sp>
      <xdr:nvSpPr>
        <xdr:cNvPr id="7" name="TextBox 15"/>
        <xdr:cNvSpPr txBox="1">
          <a:spLocks noChangeArrowheads="1"/>
        </xdr:cNvSpPr>
      </xdr:nvSpPr>
      <xdr:spPr>
        <a:xfrm>
          <a:off x="1057275" y="8686800"/>
          <a:ext cx="952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ステップ３～4</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12</xdr:row>
      <xdr:rowOff>152400</xdr:rowOff>
    </xdr:from>
    <xdr:to>
      <xdr:col>15</xdr:col>
      <xdr:colOff>361950</xdr:colOff>
      <xdr:row>13</xdr:row>
      <xdr:rowOff>104775</xdr:rowOff>
    </xdr:to>
    <xdr:sp>
      <xdr:nvSpPr>
        <xdr:cNvPr id="1" name="AutoShape 3"/>
        <xdr:cNvSpPr>
          <a:spLocks/>
        </xdr:cNvSpPr>
      </xdr:nvSpPr>
      <xdr:spPr>
        <a:xfrm rot="5400000">
          <a:off x="6991350" y="2390775"/>
          <a:ext cx="1419225" cy="123825"/>
        </a:xfrm>
        <a:prstGeom prst="rightBracket">
          <a:avLst/>
        </a:prstGeom>
        <a:no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5</xdr:row>
      <xdr:rowOff>66675</xdr:rowOff>
    </xdr:from>
    <xdr:to>
      <xdr:col>13</xdr:col>
      <xdr:colOff>238125</xdr:colOff>
      <xdr:row>17</xdr:row>
      <xdr:rowOff>76200</xdr:rowOff>
    </xdr:to>
    <xdr:pic>
      <xdr:nvPicPr>
        <xdr:cNvPr id="1" name="Picture 1"/>
        <xdr:cNvPicPr preferRelativeResize="1">
          <a:picLocks noChangeAspect="1"/>
        </xdr:cNvPicPr>
      </xdr:nvPicPr>
      <xdr:blipFill>
        <a:blip r:embed="rId1"/>
        <a:stretch>
          <a:fillRect/>
        </a:stretch>
      </xdr:blipFill>
      <xdr:spPr>
        <a:xfrm>
          <a:off x="5581650" y="942975"/>
          <a:ext cx="3571875" cy="2066925"/>
        </a:xfrm>
        <a:prstGeom prst="rect">
          <a:avLst/>
        </a:prstGeom>
        <a:noFill/>
        <a:ln w="1" cmpd="sng">
          <a:noFill/>
        </a:ln>
      </xdr:spPr>
    </xdr:pic>
    <xdr:clientData/>
  </xdr:twoCellAnchor>
  <xdr:twoCellAnchor>
    <xdr:from>
      <xdr:col>7</xdr:col>
      <xdr:colOff>504825</xdr:colOff>
      <xdr:row>8</xdr:row>
      <xdr:rowOff>114300</xdr:rowOff>
    </xdr:from>
    <xdr:to>
      <xdr:col>8</xdr:col>
      <xdr:colOff>466725</xdr:colOff>
      <xdr:row>11</xdr:row>
      <xdr:rowOff>114300</xdr:rowOff>
    </xdr:to>
    <xdr:sp>
      <xdr:nvSpPr>
        <xdr:cNvPr id="2" name="Line 2"/>
        <xdr:cNvSpPr>
          <a:spLocks/>
        </xdr:cNvSpPr>
      </xdr:nvSpPr>
      <xdr:spPr>
        <a:xfrm flipV="1">
          <a:off x="5305425" y="1504950"/>
          <a:ext cx="647700" cy="5143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9</xdr:row>
      <xdr:rowOff>95250</xdr:rowOff>
    </xdr:from>
    <xdr:to>
      <xdr:col>11</xdr:col>
      <xdr:colOff>390525</xdr:colOff>
      <xdr:row>10</xdr:row>
      <xdr:rowOff>47625</xdr:rowOff>
    </xdr:to>
    <xdr:sp>
      <xdr:nvSpPr>
        <xdr:cNvPr id="3" name="TextBox 3"/>
        <xdr:cNvSpPr txBox="1">
          <a:spLocks noChangeArrowheads="1"/>
        </xdr:cNvSpPr>
      </xdr:nvSpPr>
      <xdr:spPr>
        <a:xfrm>
          <a:off x="6410325" y="1657350"/>
          <a:ext cx="15240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名前ボックスでＩＦ関数を選択する</a:t>
          </a:r>
        </a:p>
      </xdr:txBody>
    </xdr:sp>
    <xdr:clientData/>
  </xdr:twoCellAnchor>
  <xdr:twoCellAnchor editAs="oneCell">
    <xdr:from>
      <xdr:col>8</xdr:col>
      <xdr:colOff>104775</xdr:colOff>
      <xdr:row>17</xdr:row>
      <xdr:rowOff>161925</xdr:rowOff>
    </xdr:from>
    <xdr:to>
      <xdr:col>13</xdr:col>
      <xdr:colOff>247650</xdr:colOff>
      <xdr:row>30</xdr:row>
      <xdr:rowOff>0</xdr:rowOff>
    </xdr:to>
    <xdr:pic>
      <xdr:nvPicPr>
        <xdr:cNvPr id="4" name="Picture 4"/>
        <xdr:cNvPicPr preferRelativeResize="1">
          <a:picLocks noChangeAspect="1"/>
        </xdr:cNvPicPr>
      </xdr:nvPicPr>
      <xdr:blipFill>
        <a:blip r:embed="rId2"/>
        <a:stretch>
          <a:fillRect/>
        </a:stretch>
      </xdr:blipFill>
      <xdr:spPr>
        <a:xfrm>
          <a:off x="5591175" y="3095625"/>
          <a:ext cx="3571875" cy="2066925"/>
        </a:xfrm>
        <a:prstGeom prst="rect">
          <a:avLst/>
        </a:prstGeom>
        <a:noFill/>
        <a:ln w="1" cmpd="sng">
          <a:noFill/>
        </a:ln>
      </xdr:spPr>
    </xdr:pic>
    <xdr:clientData/>
  </xdr:twoCellAnchor>
  <xdr:twoCellAnchor>
    <xdr:from>
      <xdr:col>8</xdr:col>
      <xdr:colOff>123825</xdr:colOff>
      <xdr:row>10</xdr:row>
      <xdr:rowOff>38100</xdr:rowOff>
    </xdr:from>
    <xdr:to>
      <xdr:col>9</xdr:col>
      <xdr:colOff>123825</xdr:colOff>
      <xdr:row>12</xdr:row>
      <xdr:rowOff>85725</xdr:rowOff>
    </xdr:to>
    <xdr:sp>
      <xdr:nvSpPr>
        <xdr:cNvPr id="5" name="Line 5"/>
        <xdr:cNvSpPr>
          <a:spLocks/>
        </xdr:cNvSpPr>
      </xdr:nvSpPr>
      <xdr:spPr>
        <a:xfrm flipV="1">
          <a:off x="5610225" y="1771650"/>
          <a:ext cx="685800" cy="3905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12</xdr:row>
      <xdr:rowOff>161925</xdr:rowOff>
    </xdr:from>
    <xdr:to>
      <xdr:col>8</xdr:col>
      <xdr:colOff>666750</xdr:colOff>
      <xdr:row>19</xdr:row>
      <xdr:rowOff>47625</xdr:rowOff>
    </xdr:to>
    <xdr:sp>
      <xdr:nvSpPr>
        <xdr:cNvPr id="6" name="Line 6"/>
        <xdr:cNvSpPr>
          <a:spLocks/>
        </xdr:cNvSpPr>
      </xdr:nvSpPr>
      <xdr:spPr>
        <a:xfrm>
          <a:off x="5591175" y="2238375"/>
          <a:ext cx="561975" cy="10858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12</xdr:row>
      <xdr:rowOff>19050</xdr:rowOff>
    </xdr:from>
    <xdr:to>
      <xdr:col>12</xdr:col>
      <xdr:colOff>619125</xdr:colOff>
      <xdr:row>22</xdr:row>
      <xdr:rowOff>161925</xdr:rowOff>
    </xdr:to>
    <xdr:pic>
      <xdr:nvPicPr>
        <xdr:cNvPr id="1" name="Picture 1"/>
        <xdr:cNvPicPr preferRelativeResize="1">
          <a:picLocks noChangeAspect="1"/>
        </xdr:cNvPicPr>
      </xdr:nvPicPr>
      <xdr:blipFill>
        <a:blip r:embed="rId1"/>
        <a:stretch>
          <a:fillRect/>
        </a:stretch>
      </xdr:blipFill>
      <xdr:spPr>
        <a:xfrm>
          <a:off x="5734050" y="2114550"/>
          <a:ext cx="3209925" cy="1857375"/>
        </a:xfrm>
        <a:prstGeom prst="rect">
          <a:avLst/>
        </a:prstGeom>
        <a:noFill/>
        <a:ln w="1" cmpd="sng">
          <a:noFill/>
        </a:ln>
      </xdr:spPr>
    </xdr:pic>
    <xdr:clientData/>
  </xdr:twoCellAnchor>
  <xdr:twoCellAnchor editAs="oneCell">
    <xdr:from>
      <xdr:col>8</xdr:col>
      <xdr:colOff>171450</xdr:colOff>
      <xdr:row>23</xdr:row>
      <xdr:rowOff>95250</xdr:rowOff>
    </xdr:from>
    <xdr:to>
      <xdr:col>12</xdr:col>
      <xdr:colOff>619125</xdr:colOff>
      <xdr:row>34</xdr:row>
      <xdr:rowOff>57150</xdr:rowOff>
    </xdr:to>
    <xdr:pic>
      <xdr:nvPicPr>
        <xdr:cNvPr id="2" name="Picture 2"/>
        <xdr:cNvPicPr preferRelativeResize="1">
          <a:picLocks noChangeAspect="1"/>
        </xdr:cNvPicPr>
      </xdr:nvPicPr>
      <xdr:blipFill>
        <a:blip r:embed="rId2"/>
        <a:stretch>
          <a:fillRect/>
        </a:stretch>
      </xdr:blipFill>
      <xdr:spPr>
        <a:xfrm>
          <a:off x="5753100" y="4076700"/>
          <a:ext cx="3190875" cy="1847850"/>
        </a:xfrm>
        <a:prstGeom prst="rect">
          <a:avLst/>
        </a:prstGeom>
        <a:noFill/>
        <a:ln w="1" cmpd="sng">
          <a:noFill/>
        </a:ln>
      </xdr:spPr>
    </xdr:pic>
    <xdr:clientData/>
  </xdr:twoCellAnchor>
  <xdr:twoCellAnchor>
    <xdr:from>
      <xdr:col>7</xdr:col>
      <xdr:colOff>457200</xdr:colOff>
      <xdr:row>17</xdr:row>
      <xdr:rowOff>38100</xdr:rowOff>
    </xdr:from>
    <xdr:to>
      <xdr:col>8</xdr:col>
      <xdr:colOff>104775</xdr:colOff>
      <xdr:row>31</xdr:row>
      <xdr:rowOff>95250</xdr:rowOff>
    </xdr:to>
    <xdr:sp>
      <xdr:nvSpPr>
        <xdr:cNvPr id="3" name="AutoShape 3"/>
        <xdr:cNvSpPr>
          <a:spLocks/>
        </xdr:cNvSpPr>
      </xdr:nvSpPr>
      <xdr:spPr>
        <a:xfrm>
          <a:off x="5353050" y="2990850"/>
          <a:ext cx="333375" cy="2457450"/>
        </a:xfrm>
        <a:prstGeom prst="leftBrace">
          <a:avLst>
            <a:gd name="adj" fmla="val 1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20</xdr:row>
      <xdr:rowOff>47625</xdr:rowOff>
    </xdr:from>
    <xdr:to>
      <xdr:col>5</xdr:col>
      <xdr:colOff>295275</xdr:colOff>
      <xdr:row>30</xdr:row>
      <xdr:rowOff>95250</xdr:rowOff>
    </xdr:to>
    <xdr:pic>
      <xdr:nvPicPr>
        <xdr:cNvPr id="4" name="Picture 4"/>
        <xdr:cNvPicPr preferRelativeResize="1">
          <a:picLocks noChangeAspect="1"/>
        </xdr:cNvPicPr>
      </xdr:nvPicPr>
      <xdr:blipFill>
        <a:blip r:embed="rId3"/>
        <a:stretch>
          <a:fillRect/>
        </a:stretch>
      </xdr:blipFill>
      <xdr:spPr>
        <a:xfrm>
          <a:off x="781050" y="3514725"/>
          <a:ext cx="3038475" cy="1762125"/>
        </a:xfrm>
        <a:prstGeom prst="rect">
          <a:avLst/>
        </a:prstGeom>
        <a:noFill/>
        <a:ln w="1" cmpd="sng">
          <a:noFill/>
        </a:ln>
      </xdr:spPr>
    </xdr:pic>
    <xdr:clientData/>
  </xdr:twoCellAnchor>
  <xdr:twoCellAnchor editAs="oneCell">
    <xdr:from>
      <xdr:col>1</xdr:col>
      <xdr:colOff>0</xdr:colOff>
      <xdr:row>31</xdr:row>
      <xdr:rowOff>104775</xdr:rowOff>
    </xdr:from>
    <xdr:to>
      <xdr:col>5</xdr:col>
      <xdr:colOff>295275</xdr:colOff>
      <xdr:row>41</xdr:row>
      <xdr:rowOff>152400</xdr:rowOff>
    </xdr:to>
    <xdr:pic>
      <xdr:nvPicPr>
        <xdr:cNvPr id="5" name="Picture 5"/>
        <xdr:cNvPicPr preferRelativeResize="1">
          <a:picLocks noChangeAspect="1"/>
        </xdr:cNvPicPr>
      </xdr:nvPicPr>
      <xdr:blipFill>
        <a:blip r:embed="rId4"/>
        <a:stretch>
          <a:fillRect/>
        </a:stretch>
      </xdr:blipFill>
      <xdr:spPr>
        <a:xfrm>
          <a:off x="781050" y="5457825"/>
          <a:ext cx="3038475" cy="1762125"/>
        </a:xfrm>
        <a:prstGeom prst="rect">
          <a:avLst/>
        </a:prstGeom>
        <a:noFill/>
        <a:ln w="1" cmpd="sng">
          <a:noFill/>
        </a:ln>
      </xdr:spPr>
    </xdr:pic>
    <xdr:clientData/>
  </xdr:twoCellAnchor>
  <xdr:twoCellAnchor>
    <xdr:from>
      <xdr:col>9</xdr:col>
      <xdr:colOff>200025</xdr:colOff>
      <xdr:row>12</xdr:row>
      <xdr:rowOff>28575</xdr:rowOff>
    </xdr:from>
    <xdr:to>
      <xdr:col>10</xdr:col>
      <xdr:colOff>152400</xdr:colOff>
      <xdr:row>13</xdr:row>
      <xdr:rowOff>57150</xdr:rowOff>
    </xdr:to>
    <xdr:sp>
      <xdr:nvSpPr>
        <xdr:cNvPr id="6" name="TextBox 6"/>
        <xdr:cNvSpPr txBox="1">
          <a:spLocks noChangeArrowheads="1"/>
        </xdr:cNvSpPr>
      </xdr:nvSpPr>
      <xdr:spPr>
        <a:xfrm>
          <a:off x="6467475" y="2124075"/>
          <a:ext cx="638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a:t>
          </a:r>
        </a:p>
      </xdr:txBody>
    </xdr:sp>
    <xdr:clientData/>
  </xdr:twoCellAnchor>
  <xdr:twoCellAnchor>
    <xdr:from>
      <xdr:col>9</xdr:col>
      <xdr:colOff>333375</xdr:colOff>
      <xdr:row>23</xdr:row>
      <xdr:rowOff>85725</xdr:rowOff>
    </xdr:from>
    <xdr:to>
      <xdr:col>10</xdr:col>
      <xdr:colOff>381000</xdr:colOff>
      <xdr:row>24</xdr:row>
      <xdr:rowOff>114300</xdr:rowOff>
    </xdr:to>
    <xdr:sp>
      <xdr:nvSpPr>
        <xdr:cNvPr id="7" name="TextBox 7"/>
        <xdr:cNvSpPr txBox="1">
          <a:spLocks noChangeArrowheads="1"/>
        </xdr:cNvSpPr>
      </xdr:nvSpPr>
      <xdr:spPr>
        <a:xfrm>
          <a:off x="6600825" y="4067175"/>
          <a:ext cx="7334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xdr:from>
      <xdr:col>2</xdr:col>
      <xdr:colOff>247650</xdr:colOff>
      <xdr:row>20</xdr:row>
      <xdr:rowOff>57150</xdr:rowOff>
    </xdr:from>
    <xdr:to>
      <xdr:col>3</xdr:col>
      <xdr:colOff>209550</xdr:colOff>
      <xdr:row>21</xdr:row>
      <xdr:rowOff>66675</xdr:rowOff>
    </xdr:to>
    <xdr:sp>
      <xdr:nvSpPr>
        <xdr:cNvPr id="8" name="TextBox 8"/>
        <xdr:cNvSpPr txBox="1">
          <a:spLocks noChangeArrowheads="1"/>
        </xdr:cNvSpPr>
      </xdr:nvSpPr>
      <xdr:spPr>
        <a:xfrm>
          <a:off x="1714500" y="3524250"/>
          <a:ext cx="6477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a:t>
          </a:r>
        </a:p>
      </xdr:txBody>
    </xdr:sp>
    <xdr:clientData/>
  </xdr:twoCellAnchor>
  <xdr:twoCellAnchor>
    <xdr:from>
      <xdr:col>2</xdr:col>
      <xdr:colOff>161925</xdr:colOff>
      <xdr:row>31</xdr:row>
      <xdr:rowOff>114300</xdr:rowOff>
    </xdr:from>
    <xdr:to>
      <xdr:col>3</xdr:col>
      <xdr:colOff>238125</xdr:colOff>
      <xdr:row>32</xdr:row>
      <xdr:rowOff>114300</xdr:rowOff>
    </xdr:to>
    <xdr:sp>
      <xdr:nvSpPr>
        <xdr:cNvPr id="9" name="TextBox 9"/>
        <xdr:cNvSpPr txBox="1">
          <a:spLocks noChangeArrowheads="1"/>
        </xdr:cNvSpPr>
      </xdr:nvSpPr>
      <xdr:spPr>
        <a:xfrm>
          <a:off x="1628775" y="5467350"/>
          <a:ext cx="7620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xdr:from>
      <xdr:col>5</xdr:col>
      <xdr:colOff>371475</xdr:colOff>
      <xdr:row>25</xdr:row>
      <xdr:rowOff>66675</xdr:rowOff>
    </xdr:from>
    <xdr:to>
      <xdr:col>6</xdr:col>
      <xdr:colOff>0</xdr:colOff>
      <xdr:row>39</xdr:row>
      <xdr:rowOff>161925</xdr:rowOff>
    </xdr:to>
    <xdr:sp>
      <xdr:nvSpPr>
        <xdr:cNvPr id="10" name="AutoShape 10"/>
        <xdr:cNvSpPr>
          <a:spLocks/>
        </xdr:cNvSpPr>
      </xdr:nvSpPr>
      <xdr:spPr>
        <a:xfrm>
          <a:off x="3895725" y="4391025"/>
          <a:ext cx="314325" cy="2495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0</xdr:colOff>
      <xdr:row>12</xdr:row>
      <xdr:rowOff>0</xdr:rowOff>
    </xdr:from>
    <xdr:to>
      <xdr:col>20</xdr:col>
      <xdr:colOff>657225</xdr:colOff>
      <xdr:row>27</xdr:row>
      <xdr:rowOff>38100</xdr:rowOff>
    </xdr:to>
    <xdr:pic>
      <xdr:nvPicPr>
        <xdr:cNvPr id="11" name="Picture 11"/>
        <xdr:cNvPicPr preferRelativeResize="1">
          <a:picLocks noChangeAspect="1"/>
        </xdr:cNvPicPr>
      </xdr:nvPicPr>
      <xdr:blipFill>
        <a:blip r:embed="rId5"/>
        <a:stretch>
          <a:fillRect/>
        </a:stretch>
      </xdr:blipFill>
      <xdr:spPr>
        <a:xfrm>
          <a:off x="9267825" y="2095500"/>
          <a:ext cx="4505325" cy="2609850"/>
        </a:xfrm>
        <a:prstGeom prst="rect">
          <a:avLst/>
        </a:prstGeom>
        <a:noFill/>
        <a:ln w="1" cmpd="sng">
          <a:noFill/>
        </a:ln>
      </xdr:spPr>
    </xdr:pic>
    <xdr:clientData/>
  </xdr:twoCellAnchor>
  <xdr:twoCellAnchor>
    <xdr:from>
      <xdr:col>16</xdr:col>
      <xdr:colOff>285750</xdr:colOff>
      <xdr:row>11</xdr:row>
      <xdr:rowOff>161925</xdr:rowOff>
    </xdr:from>
    <xdr:to>
      <xdr:col>16</xdr:col>
      <xdr:colOff>514350</xdr:colOff>
      <xdr:row>14</xdr:row>
      <xdr:rowOff>152400</xdr:rowOff>
    </xdr:to>
    <xdr:sp>
      <xdr:nvSpPr>
        <xdr:cNvPr id="12" name="Line 12"/>
        <xdr:cNvSpPr>
          <a:spLocks/>
        </xdr:cNvSpPr>
      </xdr:nvSpPr>
      <xdr:spPr>
        <a:xfrm flipH="1">
          <a:off x="10658475" y="2085975"/>
          <a:ext cx="228600" cy="5048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4</xdr:row>
      <xdr:rowOff>19050</xdr:rowOff>
    </xdr:from>
    <xdr:to>
      <xdr:col>11</xdr:col>
      <xdr:colOff>657225</xdr:colOff>
      <xdr:row>19</xdr:row>
      <xdr:rowOff>57150</xdr:rowOff>
    </xdr:to>
    <xdr:pic>
      <xdr:nvPicPr>
        <xdr:cNvPr id="1" name="Picture 1"/>
        <xdr:cNvPicPr preferRelativeResize="1">
          <a:picLocks noChangeAspect="1"/>
        </xdr:cNvPicPr>
      </xdr:nvPicPr>
      <xdr:blipFill>
        <a:blip r:embed="rId1"/>
        <a:stretch>
          <a:fillRect/>
        </a:stretch>
      </xdr:blipFill>
      <xdr:spPr>
        <a:xfrm>
          <a:off x="3695700" y="723900"/>
          <a:ext cx="4505325" cy="2609850"/>
        </a:xfrm>
        <a:prstGeom prst="rect">
          <a:avLst/>
        </a:prstGeom>
        <a:noFill/>
        <a:ln w="1" cmpd="sng">
          <a:noFill/>
        </a:ln>
      </xdr:spPr>
    </xdr:pic>
    <xdr:clientData/>
  </xdr:twoCellAnchor>
  <xdr:twoCellAnchor>
    <xdr:from>
      <xdr:col>6</xdr:col>
      <xdr:colOff>647700</xdr:colOff>
      <xdr:row>4</xdr:row>
      <xdr:rowOff>9525</xdr:rowOff>
    </xdr:from>
    <xdr:to>
      <xdr:col>8</xdr:col>
      <xdr:colOff>19050</xdr:colOff>
      <xdr:row>5</xdr:row>
      <xdr:rowOff>57150</xdr:rowOff>
    </xdr:to>
    <xdr:sp>
      <xdr:nvSpPr>
        <xdr:cNvPr id="2" name="TextBox 2"/>
        <xdr:cNvSpPr txBox="1">
          <a:spLocks noChangeArrowheads="1"/>
        </xdr:cNvSpPr>
      </xdr:nvSpPr>
      <xdr:spPr>
        <a:xfrm>
          <a:off x="4762500" y="714375"/>
          <a:ext cx="7429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a:t>
          </a:r>
        </a:p>
      </xdr:txBody>
    </xdr:sp>
    <xdr:clientData/>
  </xdr:twoCellAnchor>
  <xdr:twoCellAnchor editAs="oneCell">
    <xdr:from>
      <xdr:col>5</xdr:col>
      <xdr:colOff>276225</xdr:colOff>
      <xdr:row>19</xdr:row>
      <xdr:rowOff>142875</xdr:rowOff>
    </xdr:from>
    <xdr:to>
      <xdr:col>11</xdr:col>
      <xdr:colOff>666750</xdr:colOff>
      <xdr:row>35</xdr:row>
      <xdr:rowOff>9525</xdr:rowOff>
    </xdr:to>
    <xdr:pic>
      <xdr:nvPicPr>
        <xdr:cNvPr id="3" name="Picture 3"/>
        <xdr:cNvPicPr preferRelativeResize="1">
          <a:picLocks noChangeAspect="1"/>
        </xdr:cNvPicPr>
      </xdr:nvPicPr>
      <xdr:blipFill>
        <a:blip r:embed="rId2"/>
        <a:stretch>
          <a:fillRect/>
        </a:stretch>
      </xdr:blipFill>
      <xdr:spPr>
        <a:xfrm>
          <a:off x="3705225" y="3419475"/>
          <a:ext cx="4505325" cy="2609850"/>
        </a:xfrm>
        <a:prstGeom prst="rect">
          <a:avLst/>
        </a:prstGeom>
        <a:noFill/>
        <a:ln w="1" cmpd="sng">
          <a:noFill/>
        </a:ln>
      </xdr:spPr>
    </xdr:pic>
    <xdr:clientData/>
  </xdr:twoCellAnchor>
  <xdr:twoCellAnchor>
    <xdr:from>
      <xdr:col>6</xdr:col>
      <xdr:colOff>600075</xdr:colOff>
      <xdr:row>28</xdr:row>
      <xdr:rowOff>47625</xdr:rowOff>
    </xdr:from>
    <xdr:to>
      <xdr:col>10</xdr:col>
      <xdr:colOff>152400</xdr:colOff>
      <xdr:row>29</xdr:row>
      <xdr:rowOff>66675</xdr:rowOff>
    </xdr:to>
    <xdr:sp>
      <xdr:nvSpPr>
        <xdr:cNvPr id="4" name="TextBox 4"/>
        <xdr:cNvSpPr txBox="1">
          <a:spLocks noChangeArrowheads="1"/>
        </xdr:cNvSpPr>
      </xdr:nvSpPr>
      <xdr:spPr>
        <a:xfrm>
          <a:off x="4714875" y="4867275"/>
          <a:ext cx="22955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この場合有効桁数を記入しなくても可</a:t>
          </a:r>
        </a:p>
      </xdr:txBody>
    </xdr:sp>
    <xdr:clientData/>
  </xdr:twoCellAnchor>
  <xdr:twoCellAnchor>
    <xdr:from>
      <xdr:col>7</xdr:col>
      <xdr:colOff>123825</xdr:colOff>
      <xdr:row>19</xdr:row>
      <xdr:rowOff>152400</xdr:rowOff>
    </xdr:from>
    <xdr:to>
      <xdr:col>8</xdr:col>
      <xdr:colOff>95250</xdr:colOff>
      <xdr:row>21</xdr:row>
      <xdr:rowOff>19050</xdr:rowOff>
    </xdr:to>
    <xdr:sp>
      <xdr:nvSpPr>
        <xdr:cNvPr id="5" name="TextBox 5"/>
        <xdr:cNvSpPr txBox="1">
          <a:spLocks noChangeArrowheads="1"/>
        </xdr:cNvSpPr>
      </xdr:nvSpPr>
      <xdr:spPr>
        <a:xfrm>
          <a:off x="4924425" y="3429000"/>
          <a:ext cx="657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xdr:from>
      <xdr:col>7</xdr:col>
      <xdr:colOff>19050</xdr:colOff>
      <xdr:row>25</xdr:row>
      <xdr:rowOff>66675</xdr:rowOff>
    </xdr:from>
    <xdr:to>
      <xdr:col>7</xdr:col>
      <xdr:colOff>476250</xdr:colOff>
      <xdr:row>28</xdr:row>
      <xdr:rowOff>38100</xdr:rowOff>
    </xdr:to>
    <xdr:sp>
      <xdr:nvSpPr>
        <xdr:cNvPr id="6" name="Line 6"/>
        <xdr:cNvSpPr>
          <a:spLocks/>
        </xdr:cNvSpPr>
      </xdr:nvSpPr>
      <xdr:spPr>
        <a:xfrm flipH="1" flipV="1">
          <a:off x="4819650" y="4371975"/>
          <a:ext cx="457200" cy="4857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39</xdr:row>
      <xdr:rowOff>9525</xdr:rowOff>
    </xdr:from>
    <xdr:to>
      <xdr:col>10</xdr:col>
      <xdr:colOff>609600</xdr:colOff>
      <xdr:row>39</xdr:row>
      <xdr:rowOff>142875</xdr:rowOff>
    </xdr:to>
    <xdr:sp>
      <xdr:nvSpPr>
        <xdr:cNvPr id="7" name="Line 7"/>
        <xdr:cNvSpPr>
          <a:spLocks/>
        </xdr:cNvSpPr>
      </xdr:nvSpPr>
      <xdr:spPr>
        <a:xfrm flipV="1">
          <a:off x="7343775" y="6715125"/>
          <a:ext cx="123825" cy="1333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14</xdr:row>
      <xdr:rowOff>38100</xdr:rowOff>
    </xdr:from>
    <xdr:to>
      <xdr:col>9</xdr:col>
      <xdr:colOff>285750</xdr:colOff>
      <xdr:row>16</xdr:row>
      <xdr:rowOff>0</xdr:rowOff>
    </xdr:to>
    <xdr:sp>
      <xdr:nvSpPr>
        <xdr:cNvPr id="1" name="Line 2"/>
        <xdr:cNvSpPr>
          <a:spLocks/>
        </xdr:cNvSpPr>
      </xdr:nvSpPr>
      <xdr:spPr>
        <a:xfrm flipH="1">
          <a:off x="5857875" y="2438400"/>
          <a:ext cx="6381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581025</xdr:colOff>
      <xdr:row>14</xdr:row>
      <xdr:rowOff>19050</xdr:rowOff>
    </xdr:from>
    <xdr:to>
      <xdr:col>11</xdr:col>
      <xdr:colOff>161925</xdr:colOff>
      <xdr:row>15</xdr:row>
      <xdr:rowOff>152400</xdr:rowOff>
    </xdr:to>
    <xdr:sp>
      <xdr:nvSpPr>
        <xdr:cNvPr id="2" name="Line 3"/>
        <xdr:cNvSpPr>
          <a:spLocks/>
        </xdr:cNvSpPr>
      </xdr:nvSpPr>
      <xdr:spPr>
        <a:xfrm>
          <a:off x="6791325" y="2419350"/>
          <a:ext cx="4857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14</xdr:row>
      <xdr:rowOff>38100</xdr:rowOff>
    </xdr:from>
    <xdr:to>
      <xdr:col>8</xdr:col>
      <xdr:colOff>523875</xdr:colOff>
      <xdr:row>16</xdr:row>
      <xdr:rowOff>0</xdr:rowOff>
    </xdr:to>
    <xdr:sp>
      <xdr:nvSpPr>
        <xdr:cNvPr id="3" name="Line 4"/>
        <xdr:cNvSpPr>
          <a:spLocks/>
        </xdr:cNvSpPr>
      </xdr:nvSpPr>
      <xdr:spPr>
        <a:xfrm flipH="1">
          <a:off x="4000500" y="2438400"/>
          <a:ext cx="20288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24</xdr:row>
      <xdr:rowOff>95250</xdr:rowOff>
    </xdr:from>
    <xdr:to>
      <xdr:col>11</xdr:col>
      <xdr:colOff>19050</xdr:colOff>
      <xdr:row>24</xdr:row>
      <xdr:rowOff>95250</xdr:rowOff>
    </xdr:to>
    <xdr:sp>
      <xdr:nvSpPr>
        <xdr:cNvPr id="4" name="Line 5"/>
        <xdr:cNvSpPr>
          <a:spLocks/>
        </xdr:cNvSpPr>
      </xdr:nvSpPr>
      <xdr:spPr>
        <a:xfrm flipH="1">
          <a:off x="6924675" y="4210050"/>
          <a:ext cx="2095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3</xdr:row>
      <xdr:rowOff>123825</xdr:rowOff>
    </xdr:from>
    <xdr:to>
      <xdr:col>3</xdr:col>
      <xdr:colOff>304800</xdr:colOff>
      <xdr:row>6</xdr:row>
      <xdr:rowOff>66675</xdr:rowOff>
    </xdr:to>
    <xdr:sp>
      <xdr:nvSpPr>
        <xdr:cNvPr id="1" name="Line 1"/>
        <xdr:cNvSpPr>
          <a:spLocks/>
        </xdr:cNvSpPr>
      </xdr:nvSpPr>
      <xdr:spPr>
        <a:xfrm>
          <a:off x="2409825" y="657225"/>
          <a:ext cx="66675" cy="4572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20</xdr:row>
      <xdr:rowOff>85725</xdr:rowOff>
    </xdr:from>
    <xdr:to>
      <xdr:col>5</xdr:col>
      <xdr:colOff>200025</xdr:colOff>
      <xdr:row>28</xdr:row>
      <xdr:rowOff>161925</xdr:rowOff>
    </xdr:to>
    <xdr:pic>
      <xdr:nvPicPr>
        <xdr:cNvPr id="2" name="Picture 2"/>
        <xdr:cNvPicPr preferRelativeResize="1">
          <a:picLocks noChangeAspect="1"/>
        </xdr:cNvPicPr>
      </xdr:nvPicPr>
      <xdr:blipFill>
        <a:blip r:embed="rId1"/>
        <a:stretch>
          <a:fillRect/>
        </a:stretch>
      </xdr:blipFill>
      <xdr:spPr>
        <a:xfrm>
          <a:off x="0" y="3543300"/>
          <a:ext cx="3248025" cy="1447800"/>
        </a:xfrm>
        <a:prstGeom prst="rect">
          <a:avLst/>
        </a:prstGeom>
        <a:noFill/>
        <a:ln w="1" cmpd="sng">
          <a:noFill/>
        </a:ln>
      </xdr:spPr>
    </xdr:pic>
    <xdr:clientData/>
  </xdr:twoCellAnchor>
  <xdr:twoCellAnchor>
    <xdr:from>
      <xdr:col>1</xdr:col>
      <xdr:colOff>390525</xdr:colOff>
      <xdr:row>18</xdr:row>
      <xdr:rowOff>47625</xdr:rowOff>
    </xdr:from>
    <xdr:to>
      <xdr:col>2</xdr:col>
      <xdr:colOff>28575</xdr:colOff>
      <xdr:row>18</xdr:row>
      <xdr:rowOff>152400</xdr:rowOff>
    </xdr:to>
    <xdr:sp>
      <xdr:nvSpPr>
        <xdr:cNvPr id="3" name="Line 3"/>
        <xdr:cNvSpPr>
          <a:spLocks/>
        </xdr:cNvSpPr>
      </xdr:nvSpPr>
      <xdr:spPr>
        <a:xfrm flipV="1">
          <a:off x="1076325" y="3152775"/>
          <a:ext cx="438150" cy="1047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9525</xdr:rowOff>
    </xdr:from>
    <xdr:to>
      <xdr:col>1</xdr:col>
      <xdr:colOff>590550</xdr:colOff>
      <xdr:row>21</xdr:row>
      <xdr:rowOff>28575</xdr:rowOff>
    </xdr:to>
    <xdr:sp>
      <xdr:nvSpPr>
        <xdr:cNvPr id="4" name="Line 4"/>
        <xdr:cNvSpPr>
          <a:spLocks/>
        </xdr:cNvSpPr>
      </xdr:nvSpPr>
      <xdr:spPr>
        <a:xfrm>
          <a:off x="990600" y="3467100"/>
          <a:ext cx="285750" cy="1905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9525</xdr:colOff>
      <xdr:row>2</xdr:row>
      <xdr:rowOff>9525</xdr:rowOff>
    </xdr:from>
    <xdr:to>
      <xdr:col>16</xdr:col>
      <xdr:colOff>400050</xdr:colOff>
      <xdr:row>17</xdr:row>
      <xdr:rowOff>47625</xdr:rowOff>
    </xdr:to>
    <xdr:pic>
      <xdr:nvPicPr>
        <xdr:cNvPr id="5" name="Picture 5"/>
        <xdr:cNvPicPr preferRelativeResize="1">
          <a:picLocks noChangeAspect="1"/>
        </xdr:cNvPicPr>
      </xdr:nvPicPr>
      <xdr:blipFill>
        <a:blip r:embed="rId2"/>
        <a:stretch>
          <a:fillRect/>
        </a:stretch>
      </xdr:blipFill>
      <xdr:spPr>
        <a:xfrm>
          <a:off x="6096000" y="371475"/>
          <a:ext cx="4505325" cy="2609850"/>
        </a:xfrm>
        <a:prstGeom prst="rect">
          <a:avLst/>
        </a:prstGeom>
        <a:noFill/>
        <a:ln w="1" cmpd="sng">
          <a:noFill/>
        </a:ln>
      </xdr:spPr>
    </xdr:pic>
    <xdr:clientData/>
  </xdr:twoCellAnchor>
  <xdr:twoCellAnchor editAs="oneCell">
    <xdr:from>
      <xdr:col>10</xdr:col>
      <xdr:colOff>0</xdr:colOff>
      <xdr:row>18</xdr:row>
      <xdr:rowOff>0</xdr:rowOff>
    </xdr:from>
    <xdr:to>
      <xdr:col>16</xdr:col>
      <xdr:colOff>390525</xdr:colOff>
      <xdr:row>33</xdr:row>
      <xdr:rowOff>28575</xdr:rowOff>
    </xdr:to>
    <xdr:pic>
      <xdr:nvPicPr>
        <xdr:cNvPr id="6" name="Picture 6"/>
        <xdr:cNvPicPr preferRelativeResize="1">
          <a:picLocks noChangeAspect="1"/>
        </xdr:cNvPicPr>
      </xdr:nvPicPr>
      <xdr:blipFill>
        <a:blip r:embed="rId3"/>
        <a:stretch>
          <a:fillRect/>
        </a:stretch>
      </xdr:blipFill>
      <xdr:spPr>
        <a:xfrm>
          <a:off x="6086475" y="3105150"/>
          <a:ext cx="4505325" cy="2609850"/>
        </a:xfrm>
        <a:prstGeom prst="rect">
          <a:avLst/>
        </a:prstGeom>
        <a:noFill/>
        <a:ln w="1" cmpd="sng">
          <a:noFill/>
        </a:ln>
      </xdr:spPr>
    </xdr:pic>
    <xdr:clientData/>
  </xdr:twoCellAnchor>
  <xdr:twoCellAnchor>
    <xdr:from>
      <xdr:col>11</xdr:col>
      <xdr:colOff>95250</xdr:colOff>
      <xdr:row>2</xdr:row>
      <xdr:rowOff>28575</xdr:rowOff>
    </xdr:from>
    <xdr:to>
      <xdr:col>12</xdr:col>
      <xdr:colOff>66675</xdr:colOff>
      <xdr:row>3</xdr:row>
      <xdr:rowOff>57150</xdr:rowOff>
    </xdr:to>
    <xdr:sp>
      <xdr:nvSpPr>
        <xdr:cNvPr id="7" name="TextBox 7"/>
        <xdr:cNvSpPr txBox="1">
          <a:spLocks noChangeArrowheads="1"/>
        </xdr:cNvSpPr>
      </xdr:nvSpPr>
      <xdr:spPr>
        <a:xfrm>
          <a:off x="6867525" y="390525"/>
          <a:ext cx="657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ステップ1</a:t>
          </a:r>
        </a:p>
      </xdr:txBody>
    </xdr:sp>
    <xdr:clientData/>
  </xdr:twoCellAnchor>
  <xdr:twoCellAnchor>
    <xdr:from>
      <xdr:col>11</xdr:col>
      <xdr:colOff>133350</xdr:colOff>
      <xdr:row>18</xdr:row>
      <xdr:rowOff>19050</xdr:rowOff>
    </xdr:from>
    <xdr:to>
      <xdr:col>12</xdr:col>
      <xdr:colOff>95250</xdr:colOff>
      <xdr:row>19</xdr:row>
      <xdr:rowOff>57150</xdr:rowOff>
    </xdr:to>
    <xdr:sp>
      <xdr:nvSpPr>
        <xdr:cNvPr id="8" name="TextBox 8"/>
        <xdr:cNvSpPr txBox="1">
          <a:spLocks noChangeArrowheads="1"/>
        </xdr:cNvSpPr>
      </xdr:nvSpPr>
      <xdr:spPr>
        <a:xfrm>
          <a:off x="6905625" y="3124200"/>
          <a:ext cx="6477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xdr:from>
      <xdr:col>11</xdr:col>
      <xdr:colOff>257175</xdr:colOff>
      <xdr:row>34</xdr:row>
      <xdr:rowOff>161925</xdr:rowOff>
    </xdr:from>
    <xdr:to>
      <xdr:col>12</xdr:col>
      <xdr:colOff>552450</xdr:colOff>
      <xdr:row>36</xdr:row>
      <xdr:rowOff>19050</xdr:rowOff>
    </xdr:to>
    <xdr:sp>
      <xdr:nvSpPr>
        <xdr:cNvPr id="9" name="Line 9"/>
        <xdr:cNvSpPr>
          <a:spLocks/>
        </xdr:cNvSpPr>
      </xdr:nvSpPr>
      <xdr:spPr>
        <a:xfrm flipV="1">
          <a:off x="7029450" y="6019800"/>
          <a:ext cx="981075" cy="2000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6</xdr:row>
      <xdr:rowOff>85725</xdr:rowOff>
    </xdr:from>
    <xdr:to>
      <xdr:col>3</xdr:col>
      <xdr:colOff>676275</xdr:colOff>
      <xdr:row>11</xdr:row>
      <xdr:rowOff>152400</xdr:rowOff>
    </xdr:to>
    <xdr:sp>
      <xdr:nvSpPr>
        <xdr:cNvPr id="1" name="Line 1"/>
        <xdr:cNvSpPr>
          <a:spLocks/>
        </xdr:cNvSpPr>
      </xdr:nvSpPr>
      <xdr:spPr>
        <a:xfrm flipH="1">
          <a:off x="2667000" y="1171575"/>
          <a:ext cx="66675" cy="9334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8</xdr:row>
      <xdr:rowOff>19050</xdr:rowOff>
    </xdr:from>
    <xdr:to>
      <xdr:col>5</xdr:col>
      <xdr:colOff>257175</xdr:colOff>
      <xdr:row>11</xdr:row>
      <xdr:rowOff>142875</xdr:rowOff>
    </xdr:to>
    <xdr:sp>
      <xdr:nvSpPr>
        <xdr:cNvPr id="2" name="Line 2"/>
        <xdr:cNvSpPr>
          <a:spLocks/>
        </xdr:cNvSpPr>
      </xdr:nvSpPr>
      <xdr:spPr>
        <a:xfrm flipH="1">
          <a:off x="3324225" y="1457325"/>
          <a:ext cx="361950" cy="6381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285750</xdr:colOff>
      <xdr:row>9</xdr:row>
      <xdr:rowOff>0</xdr:rowOff>
    </xdr:from>
    <xdr:to>
      <xdr:col>11</xdr:col>
      <xdr:colOff>676275</xdr:colOff>
      <xdr:row>24</xdr:row>
      <xdr:rowOff>38100</xdr:rowOff>
    </xdr:to>
    <xdr:pic>
      <xdr:nvPicPr>
        <xdr:cNvPr id="3" name="Picture 3"/>
        <xdr:cNvPicPr preferRelativeResize="1">
          <a:picLocks noChangeAspect="1"/>
        </xdr:cNvPicPr>
      </xdr:nvPicPr>
      <xdr:blipFill>
        <a:blip r:embed="rId1"/>
        <a:stretch>
          <a:fillRect/>
        </a:stretch>
      </xdr:blipFill>
      <xdr:spPr>
        <a:xfrm>
          <a:off x="3714750" y="1609725"/>
          <a:ext cx="4505325" cy="2609850"/>
        </a:xfrm>
        <a:prstGeom prst="rect">
          <a:avLst/>
        </a:prstGeom>
        <a:noFill/>
        <a:ln w="1" cmpd="sng">
          <a:noFill/>
        </a:ln>
      </xdr:spPr>
    </xdr:pic>
    <xdr:clientData/>
  </xdr:twoCellAnchor>
  <xdr:twoCellAnchor>
    <xdr:from>
      <xdr:col>6</xdr:col>
      <xdr:colOff>647700</xdr:colOff>
      <xdr:row>9</xdr:row>
      <xdr:rowOff>9525</xdr:rowOff>
    </xdr:from>
    <xdr:to>
      <xdr:col>10</xdr:col>
      <xdr:colOff>438150</xdr:colOff>
      <xdr:row>10</xdr:row>
      <xdr:rowOff>85725</xdr:rowOff>
    </xdr:to>
    <xdr:sp>
      <xdr:nvSpPr>
        <xdr:cNvPr id="4" name="TextBox 4"/>
        <xdr:cNvSpPr txBox="1">
          <a:spLocks noChangeArrowheads="1"/>
        </xdr:cNvSpPr>
      </xdr:nvSpPr>
      <xdr:spPr>
        <a:xfrm>
          <a:off x="4762500" y="1619250"/>
          <a:ext cx="2533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ステップ１：最初に真、偽の場合を記入</a:t>
          </a:r>
        </a:p>
      </xdr:txBody>
    </xdr:sp>
    <xdr:clientData/>
  </xdr:twoCellAnchor>
  <xdr:twoCellAnchor editAs="oneCell">
    <xdr:from>
      <xdr:col>5</xdr:col>
      <xdr:colOff>295275</xdr:colOff>
      <xdr:row>24</xdr:row>
      <xdr:rowOff>123825</xdr:rowOff>
    </xdr:from>
    <xdr:to>
      <xdr:col>12</xdr:col>
      <xdr:colOff>0</xdr:colOff>
      <xdr:row>39</xdr:row>
      <xdr:rowOff>161925</xdr:rowOff>
    </xdr:to>
    <xdr:pic>
      <xdr:nvPicPr>
        <xdr:cNvPr id="5" name="Picture 5"/>
        <xdr:cNvPicPr preferRelativeResize="1">
          <a:picLocks noChangeAspect="1"/>
        </xdr:cNvPicPr>
      </xdr:nvPicPr>
      <xdr:blipFill>
        <a:blip r:embed="rId2"/>
        <a:stretch>
          <a:fillRect/>
        </a:stretch>
      </xdr:blipFill>
      <xdr:spPr>
        <a:xfrm>
          <a:off x="3724275" y="4305300"/>
          <a:ext cx="4505325" cy="2609850"/>
        </a:xfrm>
        <a:prstGeom prst="rect">
          <a:avLst/>
        </a:prstGeom>
        <a:noFill/>
        <a:ln w="1" cmpd="sng">
          <a:noFill/>
        </a:ln>
      </xdr:spPr>
    </xdr:pic>
    <xdr:clientData/>
  </xdr:twoCellAnchor>
  <xdr:twoCellAnchor>
    <xdr:from>
      <xdr:col>7</xdr:col>
      <xdr:colOff>504825</xdr:colOff>
      <xdr:row>13</xdr:row>
      <xdr:rowOff>47625</xdr:rowOff>
    </xdr:from>
    <xdr:to>
      <xdr:col>8</xdr:col>
      <xdr:colOff>57150</xdr:colOff>
      <xdr:row>14</xdr:row>
      <xdr:rowOff>152400</xdr:rowOff>
    </xdr:to>
    <xdr:sp>
      <xdr:nvSpPr>
        <xdr:cNvPr id="6" name="AutoShape 7"/>
        <xdr:cNvSpPr>
          <a:spLocks/>
        </xdr:cNvSpPr>
      </xdr:nvSpPr>
      <xdr:spPr>
        <a:xfrm>
          <a:off x="5305425" y="2343150"/>
          <a:ext cx="238125" cy="276225"/>
        </a:xfrm>
        <a:prstGeom prst="rightBrace">
          <a:avLst/>
        </a:prstGeom>
        <a:noFill/>
        <a:ln w="952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10</xdr:row>
      <xdr:rowOff>38100</xdr:rowOff>
    </xdr:from>
    <xdr:to>
      <xdr:col>8</xdr:col>
      <xdr:colOff>647700</xdr:colOff>
      <xdr:row>13</xdr:row>
      <xdr:rowOff>123825</xdr:rowOff>
    </xdr:to>
    <xdr:sp>
      <xdr:nvSpPr>
        <xdr:cNvPr id="7" name="Line 8"/>
        <xdr:cNvSpPr>
          <a:spLocks/>
        </xdr:cNvSpPr>
      </xdr:nvSpPr>
      <xdr:spPr>
        <a:xfrm flipH="1">
          <a:off x="5591175" y="1819275"/>
          <a:ext cx="542925" cy="6000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24</xdr:row>
      <xdr:rowOff>161925</xdr:rowOff>
    </xdr:from>
    <xdr:to>
      <xdr:col>11</xdr:col>
      <xdr:colOff>457200</xdr:colOff>
      <xdr:row>26</xdr:row>
      <xdr:rowOff>28575</xdr:rowOff>
    </xdr:to>
    <xdr:sp>
      <xdr:nvSpPr>
        <xdr:cNvPr id="8" name="TextBox 9"/>
        <xdr:cNvSpPr txBox="1">
          <a:spLocks noChangeArrowheads="1"/>
        </xdr:cNvSpPr>
      </xdr:nvSpPr>
      <xdr:spPr>
        <a:xfrm>
          <a:off x="4676775" y="4343400"/>
          <a:ext cx="3324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ステップ２：論理式に名前ボックスでＩＳＥＲＲＯＲを選択</a:t>
          </a:r>
        </a:p>
      </xdr:txBody>
    </xdr:sp>
    <xdr:clientData/>
  </xdr:twoCellAnchor>
  <xdr:twoCellAnchor>
    <xdr:from>
      <xdr:col>6</xdr:col>
      <xdr:colOff>666750</xdr:colOff>
      <xdr:row>27</xdr:row>
      <xdr:rowOff>123825</xdr:rowOff>
    </xdr:from>
    <xdr:to>
      <xdr:col>10</xdr:col>
      <xdr:colOff>0</xdr:colOff>
      <xdr:row>28</xdr:row>
      <xdr:rowOff>123825</xdr:rowOff>
    </xdr:to>
    <xdr:sp>
      <xdr:nvSpPr>
        <xdr:cNvPr id="9" name="TextBox 10"/>
        <xdr:cNvSpPr txBox="1">
          <a:spLocks noChangeArrowheads="1"/>
        </xdr:cNvSpPr>
      </xdr:nvSpPr>
      <xdr:spPr>
        <a:xfrm>
          <a:off x="4781550" y="4819650"/>
          <a:ext cx="2076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名前ボックスでＩＳＥＲＲＯＲを選択</a:t>
          </a:r>
        </a:p>
      </xdr:txBody>
    </xdr:sp>
    <xdr:clientData/>
  </xdr:twoCellAnchor>
  <xdr:twoCellAnchor editAs="oneCell">
    <xdr:from>
      <xdr:col>5</xdr:col>
      <xdr:colOff>333375</xdr:colOff>
      <xdr:row>40</xdr:row>
      <xdr:rowOff>104775</xdr:rowOff>
    </xdr:from>
    <xdr:to>
      <xdr:col>12</xdr:col>
      <xdr:colOff>38100</xdr:colOff>
      <xdr:row>53</xdr:row>
      <xdr:rowOff>85725</xdr:rowOff>
    </xdr:to>
    <xdr:pic>
      <xdr:nvPicPr>
        <xdr:cNvPr id="10" name="Picture 11"/>
        <xdr:cNvPicPr preferRelativeResize="1">
          <a:picLocks noChangeAspect="1"/>
        </xdr:cNvPicPr>
      </xdr:nvPicPr>
      <xdr:blipFill>
        <a:blip r:embed="rId3"/>
        <a:stretch>
          <a:fillRect/>
        </a:stretch>
      </xdr:blipFill>
      <xdr:spPr>
        <a:xfrm>
          <a:off x="3762375" y="7029450"/>
          <a:ext cx="4505325" cy="2209800"/>
        </a:xfrm>
        <a:prstGeom prst="rect">
          <a:avLst/>
        </a:prstGeom>
        <a:noFill/>
        <a:ln w="1" cmpd="sng">
          <a:noFill/>
        </a:ln>
      </xdr:spPr>
    </xdr:pic>
    <xdr:clientData/>
  </xdr:twoCellAnchor>
  <xdr:twoCellAnchor>
    <xdr:from>
      <xdr:col>6</xdr:col>
      <xdr:colOff>666750</xdr:colOff>
      <xdr:row>40</xdr:row>
      <xdr:rowOff>133350</xdr:rowOff>
    </xdr:from>
    <xdr:to>
      <xdr:col>9</xdr:col>
      <xdr:colOff>628650</xdr:colOff>
      <xdr:row>42</xdr:row>
      <xdr:rowOff>9525</xdr:rowOff>
    </xdr:to>
    <xdr:sp>
      <xdr:nvSpPr>
        <xdr:cNvPr id="11" name="TextBox 12"/>
        <xdr:cNvSpPr txBox="1">
          <a:spLocks noChangeArrowheads="1"/>
        </xdr:cNvSpPr>
      </xdr:nvSpPr>
      <xdr:spPr>
        <a:xfrm>
          <a:off x="4781550" y="7058025"/>
          <a:ext cx="20193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ステップ３：対象の計算式を記入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15</xdr:row>
      <xdr:rowOff>28575</xdr:rowOff>
    </xdr:from>
    <xdr:to>
      <xdr:col>10</xdr:col>
      <xdr:colOff>628650</xdr:colOff>
      <xdr:row>30</xdr:row>
      <xdr:rowOff>19050</xdr:rowOff>
    </xdr:to>
    <xdr:pic>
      <xdr:nvPicPr>
        <xdr:cNvPr id="1" name="Picture 1"/>
        <xdr:cNvPicPr preferRelativeResize="1">
          <a:picLocks noChangeAspect="1"/>
        </xdr:cNvPicPr>
      </xdr:nvPicPr>
      <xdr:blipFill>
        <a:blip r:embed="rId1"/>
        <a:stretch>
          <a:fillRect/>
        </a:stretch>
      </xdr:blipFill>
      <xdr:spPr>
        <a:xfrm>
          <a:off x="3743325" y="2600325"/>
          <a:ext cx="3838575" cy="2562225"/>
        </a:xfrm>
        <a:prstGeom prst="rect">
          <a:avLst/>
        </a:prstGeom>
        <a:noFill/>
        <a:ln w="1" cmpd="sng">
          <a:noFill/>
        </a:ln>
      </xdr:spPr>
    </xdr:pic>
    <xdr:clientData/>
  </xdr:twoCellAnchor>
  <xdr:twoCellAnchor>
    <xdr:from>
      <xdr:col>4</xdr:col>
      <xdr:colOff>19050</xdr:colOff>
      <xdr:row>6</xdr:row>
      <xdr:rowOff>66675</xdr:rowOff>
    </xdr:from>
    <xdr:to>
      <xdr:col>4</xdr:col>
      <xdr:colOff>114300</xdr:colOff>
      <xdr:row>7</xdr:row>
      <xdr:rowOff>95250</xdr:rowOff>
    </xdr:to>
    <xdr:sp>
      <xdr:nvSpPr>
        <xdr:cNvPr id="2" name="Line 2"/>
        <xdr:cNvSpPr>
          <a:spLocks/>
        </xdr:cNvSpPr>
      </xdr:nvSpPr>
      <xdr:spPr>
        <a:xfrm flipH="1">
          <a:off x="2857500" y="1095375"/>
          <a:ext cx="95250" cy="2000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13</xdr:row>
      <xdr:rowOff>95250</xdr:rowOff>
    </xdr:from>
    <xdr:to>
      <xdr:col>4</xdr:col>
      <xdr:colOff>180975</xdr:colOff>
      <xdr:row>13</xdr:row>
      <xdr:rowOff>104775</xdr:rowOff>
    </xdr:to>
    <xdr:sp>
      <xdr:nvSpPr>
        <xdr:cNvPr id="3" name="Line 3"/>
        <xdr:cNvSpPr>
          <a:spLocks/>
        </xdr:cNvSpPr>
      </xdr:nvSpPr>
      <xdr:spPr>
        <a:xfrm flipH="1" flipV="1">
          <a:off x="2819400" y="2324100"/>
          <a:ext cx="200025" cy="95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6</xdr:row>
      <xdr:rowOff>152400</xdr:rowOff>
    </xdr:from>
    <xdr:to>
      <xdr:col>7</xdr:col>
      <xdr:colOff>66675</xdr:colOff>
      <xdr:row>17</xdr:row>
      <xdr:rowOff>161925</xdr:rowOff>
    </xdr:to>
    <xdr:sp>
      <xdr:nvSpPr>
        <xdr:cNvPr id="4" name="Line 4"/>
        <xdr:cNvSpPr>
          <a:spLocks/>
        </xdr:cNvSpPr>
      </xdr:nvSpPr>
      <xdr:spPr>
        <a:xfrm>
          <a:off x="3952875" y="1181100"/>
          <a:ext cx="1009650" cy="18954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3</xdr:row>
      <xdr:rowOff>133350</xdr:rowOff>
    </xdr:from>
    <xdr:to>
      <xdr:col>6</xdr:col>
      <xdr:colOff>485775</xdr:colOff>
      <xdr:row>19</xdr:row>
      <xdr:rowOff>19050</xdr:rowOff>
    </xdr:to>
    <xdr:sp>
      <xdr:nvSpPr>
        <xdr:cNvPr id="5" name="Line 5"/>
        <xdr:cNvSpPr>
          <a:spLocks/>
        </xdr:cNvSpPr>
      </xdr:nvSpPr>
      <xdr:spPr>
        <a:xfrm>
          <a:off x="2790825" y="647700"/>
          <a:ext cx="1905000" cy="26289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8</xdr:row>
      <xdr:rowOff>123825</xdr:rowOff>
    </xdr:from>
    <xdr:to>
      <xdr:col>6</xdr:col>
      <xdr:colOff>533400</xdr:colOff>
      <xdr:row>18</xdr:row>
      <xdr:rowOff>142875</xdr:rowOff>
    </xdr:to>
    <xdr:sp>
      <xdr:nvSpPr>
        <xdr:cNvPr id="6" name="Line 6"/>
        <xdr:cNvSpPr>
          <a:spLocks/>
        </xdr:cNvSpPr>
      </xdr:nvSpPr>
      <xdr:spPr>
        <a:xfrm>
          <a:off x="3762375" y="1495425"/>
          <a:ext cx="981075" cy="17335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9</xdr:row>
      <xdr:rowOff>114300</xdr:rowOff>
    </xdr:from>
    <xdr:to>
      <xdr:col>6</xdr:col>
      <xdr:colOff>590550</xdr:colOff>
      <xdr:row>20</xdr:row>
      <xdr:rowOff>28575</xdr:rowOff>
    </xdr:to>
    <xdr:sp>
      <xdr:nvSpPr>
        <xdr:cNvPr id="7" name="Line 7"/>
        <xdr:cNvSpPr>
          <a:spLocks/>
        </xdr:cNvSpPr>
      </xdr:nvSpPr>
      <xdr:spPr>
        <a:xfrm>
          <a:off x="3076575" y="1657350"/>
          <a:ext cx="1724025" cy="18002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123825</xdr:rowOff>
    </xdr:from>
    <xdr:to>
      <xdr:col>6</xdr:col>
      <xdr:colOff>514350</xdr:colOff>
      <xdr:row>20</xdr:row>
      <xdr:rowOff>161925</xdr:rowOff>
    </xdr:to>
    <xdr:sp>
      <xdr:nvSpPr>
        <xdr:cNvPr id="8" name="Line 8"/>
        <xdr:cNvSpPr>
          <a:spLocks/>
        </xdr:cNvSpPr>
      </xdr:nvSpPr>
      <xdr:spPr>
        <a:xfrm>
          <a:off x="3028950" y="1838325"/>
          <a:ext cx="1695450" cy="17526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11</xdr:row>
      <xdr:rowOff>133350</xdr:rowOff>
    </xdr:from>
    <xdr:to>
      <xdr:col>6</xdr:col>
      <xdr:colOff>495300</xdr:colOff>
      <xdr:row>21</xdr:row>
      <xdr:rowOff>152400</xdr:rowOff>
    </xdr:to>
    <xdr:sp>
      <xdr:nvSpPr>
        <xdr:cNvPr id="9" name="Line 9"/>
        <xdr:cNvSpPr>
          <a:spLocks/>
        </xdr:cNvSpPr>
      </xdr:nvSpPr>
      <xdr:spPr>
        <a:xfrm>
          <a:off x="3028950" y="2019300"/>
          <a:ext cx="1676400" cy="17335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8</xdr:row>
      <xdr:rowOff>104775</xdr:rowOff>
    </xdr:from>
    <xdr:to>
      <xdr:col>4</xdr:col>
      <xdr:colOff>609600</xdr:colOff>
      <xdr:row>11</xdr:row>
      <xdr:rowOff>95250</xdr:rowOff>
    </xdr:to>
    <xdr:sp>
      <xdr:nvSpPr>
        <xdr:cNvPr id="1" name="Line 1"/>
        <xdr:cNvSpPr>
          <a:spLocks/>
        </xdr:cNvSpPr>
      </xdr:nvSpPr>
      <xdr:spPr>
        <a:xfrm flipH="1" flipV="1">
          <a:off x="2867025" y="1476375"/>
          <a:ext cx="638175" cy="5048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666750</xdr:colOff>
      <xdr:row>8</xdr:row>
      <xdr:rowOff>142875</xdr:rowOff>
    </xdr:from>
    <xdr:to>
      <xdr:col>5</xdr:col>
      <xdr:colOff>47625</xdr:colOff>
      <xdr:row>12</xdr:row>
      <xdr:rowOff>104775</xdr:rowOff>
    </xdr:to>
    <xdr:sp>
      <xdr:nvSpPr>
        <xdr:cNvPr id="2" name="Line 2"/>
        <xdr:cNvSpPr>
          <a:spLocks/>
        </xdr:cNvSpPr>
      </xdr:nvSpPr>
      <xdr:spPr>
        <a:xfrm flipH="1" flipV="1">
          <a:off x="2190750" y="1514475"/>
          <a:ext cx="1438275" cy="6477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8</xdr:row>
      <xdr:rowOff>114300</xdr:rowOff>
    </xdr:from>
    <xdr:to>
      <xdr:col>4</xdr:col>
      <xdr:colOff>676275</xdr:colOff>
      <xdr:row>10</xdr:row>
      <xdr:rowOff>104775</xdr:rowOff>
    </xdr:to>
    <xdr:sp>
      <xdr:nvSpPr>
        <xdr:cNvPr id="1" name="Line 1"/>
        <xdr:cNvSpPr>
          <a:spLocks/>
        </xdr:cNvSpPr>
      </xdr:nvSpPr>
      <xdr:spPr>
        <a:xfrm flipH="1" flipV="1">
          <a:off x="2790825" y="1485900"/>
          <a:ext cx="6286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13</xdr:row>
      <xdr:rowOff>95250</xdr:rowOff>
    </xdr:from>
    <xdr:to>
      <xdr:col>4</xdr:col>
      <xdr:colOff>628650</xdr:colOff>
      <xdr:row>13</xdr:row>
      <xdr:rowOff>95250</xdr:rowOff>
    </xdr:to>
    <xdr:sp>
      <xdr:nvSpPr>
        <xdr:cNvPr id="2" name="Line 2"/>
        <xdr:cNvSpPr>
          <a:spLocks/>
        </xdr:cNvSpPr>
      </xdr:nvSpPr>
      <xdr:spPr>
        <a:xfrm flipH="1">
          <a:off x="2838450" y="232410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10</xdr:row>
      <xdr:rowOff>57150</xdr:rowOff>
    </xdr:from>
    <xdr:to>
      <xdr:col>4</xdr:col>
      <xdr:colOff>628650</xdr:colOff>
      <xdr:row>12</xdr:row>
      <xdr:rowOff>123825</xdr:rowOff>
    </xdr:to>
    <xdr:sp>
      <xdr:nvSpPr>
        <xdr:cNvPr id="3" name="Line 3"/>
        <xdr:cNvSpPr>
          <a:spLocks/>
        </xdr:cNvSpPr>
      </xdr:nvSpPr>
      <xdr:spPr>
        <a:xfrm flipH="1" flipV="1">
          <a:off x="2800350" y="1771650"/>
          <a:ext cx="5715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11</xdr:row>
      <xdr:rowOff>104775</xdr:rowOff>
    </xdr:from>
    <xdr:to>
      <xdr:col>6</xdr:col>
      <xdr:colOff>19050</xdr:colOff>
      <xdr:row>11</xdr:row>
      <xdr:rowOff>104775</xdr:rowOff>
    </xdr:to>
    <xdr:sp>
      <xdr:nvSpPr>
        <xdr:cNvPr id="4" name="Line 4"/>
        <xdr:cNvSpPr>
          <a:spLocks/>
        </xdr:cNvSpPr>
      </xdr:nvSpPr>
      <xdr:spPr>
        <a:xfrm flipH="1">
          <a:off x="2838450" y="1990725"/>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14</xdr:row>
      <xdr:rowOff>0</xdr:rowOff>
    </xdr:from>
    <xdr:to>
      <xdr:col>12</xdr:col>
      <xdr:colOff>85725</xdr:colOff>
      <xdr:row>28</xdr:row>
      <xdr:rowOff>9525</xdr:rowOff>
    </xdr:to>
    <xdr:pic>
      <xdr:nvPicPr>
        <xdr:cNvPr id="1" name="Picture 3"/>
        <xdr:cNvPicPr preferRelativeResize="1">
          <a:picLocks noChangeAspect="1"/>
        </xdr:cNvPicPr>
      </xdr:nvPicPr>
      <xdr:blipFill>
        <a:blip r:embed="rId1"/>
        <a:stretch>
          <a:fillRect/>
        </a:stretch>
      </xdr:blipFill>
      <xdr:spPr>
        <a:xfrm>
          <a:off x="4448175" y="2400300"/>
          <a:ext cx="4505325" cy="2409825"/>
        </a:xfrm>
        <a:prstGeom prst="rect">
          <a:avLst/>
        </a:prstGeom>
        <a:noFill/>
        <a:ln w="1" cmpd="sng">
          <a:noFill/>
        </a:ln>
      </xdr:spPr>
    </xdr:pic>
    <xdr:clientData/>
  </xdr:twoCellAnchor>
  <xdr:twoCellAnchor>
    <xdr:from>
      <xdr:col>0</xdr:col>
      <xdr:colOff>895350</xdr:colOff>
      <xdr:row>5</xdr:row>
      <xdr:rowOff>114300</xdr:rowOff>
    </xdr:from>
    <xdr:to>
      <xdr:col>7</xdr:col>
      <xdr:colOff>57150</xdr:colOff>
      <xdr:row>17</xdr:row>
      <xdr:rowOff>47625</xdr:rowOff>
    </xdr:to>
    <xdr:sp>
      <xdr:nvSpPr>
        <xdr:cNvPr id="2" name="Line 2"/>
        <xdr:cNvSpPr>
          <a:spLocks/>
        </xdr:cNvSpPr>
      </xdr:nvSpPr>
      <xdr:spPr>
        <a:xfrm>
          <a:off x="895350" y="971550"/>
          <a:ext cx="4600575" cy="199072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5</xdr:row>
      <xdr:rowOff>133350</xdr:rowOff>
    </xdr:from>
    <xdr:to>
      <xdr:col>5</xdr:col>
      <xdr:colOff>676275</xdr:colOff>
      <xdr:row>12</xdr:row>
      <xdr:rowOff>66675</xdr:rowOff>
    </xdr:to>
    <xdr:sp>
      <xdr:nvSpPr>
        <xdr:cNvPr id="3" name="Line 4"/>
        <xdr:cNvSpPr>
          <a:spLocks/>
        </xdr:cNvSpPr>
      </xdr:nvSpPr>
      <xdr:spPr>
        <a:xfrm flipH="1" flipV="1">
          <a:off x="3800475" y="990600"/>
          <a:ext cx="638175" cy="11334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13</xdr:row>
      <xdr:rowOff>9525</xdr:rowOff>
    </xdr:from>
    <xdr:to>
      <xdr:col>8</xdr:col>
      <xdr:colOff>666750</xdr:colOff>
      <xdr:row>18</xdr:row>
      <xdr:rowOff>104775</xdr:rowOff>
    </xdr:to>
    <xdr:sp>
      <xdr:nvSpPr>
        <xdr:cNvPr id="4" name="Line 5"/>
        <xdr:cNvSpPr>
          <a:spLocks/>
        </xdr:cNvSpPr>
      </xdr:nvSpPr>
      <xdr:spPr>
        <a:xfrm flipH="1">
          <a:off x="5629275" y="2238375"/>
          <a:ext cx="1162050" cy="95250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19</xdr:row>
      <xdr:rowOff>9525</xdr:rowOff>
    </xdr:from>
    <xdr:to>
      <xdr:col>6</xdr:col>
      <xdr:colOff>57150</xdr:colOff>
      <xdr:row>34</xdr:row>
      <xdr:rowOff>47625</xdr:rowOff>
    </xdr:to>
    <xdr:pic>
      <xdr:nvPicPr>
        <xdr:cNvPr id="5" name="Picture 6"/>
        <xdr:cNvPicPr preferRelativeResize="1">
          <a:picLocks noChangeAspect="1"/>
        </xdr:cNvPicPr>
      </xdr:nvPicPr>
      <xdr:blipFill>
        <a:blip r:embed="rId2"/>
        <a:stretch>
          <a:fillRect/>
        </a:stretch>
      </xdr:blipFill>
      <xdr:spPr>
        <a:xfrm>
          <a:off x="0" y="3267075"/>
          <a:ext cx="4505325" cy="2609850"/>
        </a:xfrm>
        <a:prstGeom prst="rect">
          <a:avLst/>
        </a:prstGeom>
        <a:noFill/>
        <a:ln w="1" cmpd="sng">
          <a:noFill/>
        </a:ln>
      </xdr:spPr>
    </xdr:pic>
    <xdr:clientData/>
  </xdr:twoCellAnchor>
  <xdr:twoCellAnchor>
    <xdr:from>
      <xdr:col>5</xdr:col>
      <xdr:colOff>104775</xdr:colOff>
      <xdr:row>7</xdr:row>
      <xdr:rowOff>161925</xdr:rowOff>
    </xdr:from>
    <xdr:to>
      <xdr:col>7</xdr:col>
      <xdr:colOff>295275</xdr:colOff>
      <xdr:row>19</xdr:row>
      <xdr:rowOff>0</xdr:rowOff>
    </xdr:to>
    <xdr:sp>
      <xdr:nvSpPr>
        <xdr:cNvPr id="6" name="Line 7"/>
        <xdr:cNvSpPr>
          <a:spLocks/>
        </xdr:cNvSpPr>
      </xdr:nvSpPr>
      <xdr:spPr>
        <a:xfrm flipH="1">
          <a:off x="3867150" y="1362075"/>
          <a:ext cx="1866900" cy="1895475"/>
        </a:xfrm>
        <a:prstGeom prst="line">
          <a:avLst/>
        </a:prstGeom>
        <a:noFill/>
        <a:ln w="9525" cmpd="sng">
          <a:solidFill>
            <a:srgbClr val="FF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0</xdr:rowOff>
    </xdr:from>
    <xdr:to>
      <xdr:col>10</xdr:col>
      <xdr:colOff>390525</xdr:colOff>
      <xdr:row>19</xdr:row>
      <xdr:rowOff>38100</xdr:rowOff>
    </xdr:to>
    <xdr:pic>
      <xdr:nvPicPr>
        <xdr:cNvPr id="1" name="Picture 1"/>
        <xdr:cNvPicPr preferRelativeResize="1">
          <a:picLocks noChangeAspect="1"/>
        </xdr:cNvPicPr>
      </xdr:nvPicPr>
      <xdr:blipFill>
        <a:blip r:embed="rId1"/>
        <a:stretch>
          <a:fillRect/>
        </a:stretch>
      </xdr:blipFill>
      <xdr:spPr>
        <a:xfrm>
          <a:off x="3200400" y="695325"/>
          <a:ext cx="4505325" cy="26098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628650</xdr:colOff>
      <xdr:row>8</xdr:row>
      <xdr:rowOff>47625</xdr:rowOff>
    </xdr:from>
    <xdr:to>
      <xdr:col>11</xdr:col>
      <xdr:colOff>333375</xdr:colOff>
      <xdr:row>22</xdr:row>
      <xdr:rowOff>57150</xdr:rowOff>
    </xdr:to>
    <xdr:pic>
      <xdr:nvPicPr>
        <xdr:cNvPr id="1" name="Picture 1"/>
        <xdr:cNvPicPr preferRelativeResize="1">
          <a:picLocks noChangeAspect="1"/>
        </xdr:cNvPicPr>
      </xdr:nvPicPr>
      <xdr:blipFill>
        <a:blip r:embed="rId1"/>
        <a:stretch>
          <a:fillRect/>
        </a:stretch>
      </xdr:blipFill>
      <xdr:spPr>
        <a:xfrm>
          <a:off x="3371850" y="1428750"/>
          <a:ext cx="4505325" cy="2409825"/>
        </a:xfrm>
        <a:prstGeom prst="rect">
          <a:avLst/>
        </a:prstGeom>
        <a:noFill/>
        <a:ln w="1" cmpd="sng">
          <a:noFill/>
        </a:ln>
      </xdr:spPr>
    </xdr:pic>
    <xdr:clientData/>
  </xdr:twoCellAnchor>
  <xdr:twoCellAnchor>
    <xdr:from>
      <xdr:col>1</xdr:col>
      <xdr:colOff>571500</xdr:colOff>
      <xdr:row>9</xdr:row>
      <xdr:rowOff>95250</xdr:rowOff>
    </xdr:from>
    <xdr:to>
      <xdr:col>5</xdr:col>
      <xdr:colOff>666750</xdr:colOff>
      <xdr:row>11</xdr:row>
      <xdr:rowOff>85725</xdr:rowOff>
    </xdr:to>
    <xdr:sp>
      <xdr:nvSpPr>
        <xdr:cNvPr id="2" name="Line 2"/>
        <xdr:cNvSpPr>
          <a:spLocks/>
        </xdr:cNvSpPr>
      </xdr:nvSpPr>
      <xdr:spPr>
        <a:xfrm flipH="1" flipV="1">
          <a:off x="1257300" y="1647825"/>
          <a:ext cx="2838450" cy="33337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10</xdr:row>
      <xdr:rowOff>0</xdr:rowOff>
    </xdr:from>
    <xdr:to>
      <xdr:col>11</xdr:col>
      <xdr:colOff>390525</xdr:colOff>
      <xdr:row>25</xdr:row>
      <xdr:rowOff>38100</xdr:rowOff>
    </xdr:to>
    <xdr:pic>
      <xdr:nvPicPr>
        <xdr:cNvPr id="1" name="Picture 1"/>
        <xdr:cNvPicPr preferRelativeResize="1">
          <a:picLocks noChangeAspect="1"/>
        </xdr:cNvPicPr>
      </xdr:nvPicPr>
      <xdr:blipFill>
        <a:blip r:embed="rId1"/>
        <a:stretch>
          <a:fillRect/>
        </a:stretch>
      </xdr:blipFill>
      <xdr:spPr>
        <a:xfrm>
          <a:off x="3429000" y="1724025"/>
          <a:ext cx="4505325" cy="2609850"/>
        </a:xfrm>
        <a:prstGeom prst="rect">
          <a:avLst/>
        </a:prstGeom>
        <a:noFill/>
        <a:ln w="1" cmpd="sng">
          <a:noFill/>
        </a:ln>
      </xdr:spPr>
    </xdr:pic>
    <xdr:clientData/>
  </xdr:twoCellAnchor>
  <xdr:twoCellAnchor>
    <xdr:from>
      <xdr:col>3</xdr:col>
      <xdr:colOff>285750</xdr:colOff>
      <xdr:row>10</xdr:row>
      <xdr:rowOff>47625</xdr:rowOff>
    </xdr:from>
    <xdr:to>
      <xdr:col>5</xdr:col>
      <xdr:colOff>495300</xdr:colOff>
      <xdr:row>13</xdr:row>
      <xdr:rowOff>47625</xdr:rowOff>
    </xdr:to>
    <xdr:sp>
      <xdr:nvSpPr>
        <xdr:cNvPr id="2" name="Line 2"/>
        <xdr:cNvSpPr>
          <a:spLocks/>
        </xdr:cNvSpPr>
      </xdr:nvSpPr>
      <xdr:spPr>
        <a:xfrm flipH="1" flipV="1">
          <a:off x="2343150" y="1771650"/>
          <a:ext cx="1581150" cy="51435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6</xdr:row>
      <xdr:rowOff>66675</xdr:rowOff>
    </xdr:from>
    <xdr:to>
      <xdr:col>6</xdr:col>
      <xdr:colOff>85725</xdr:colOff>
      <xdr:row>15</xdr:row>
      <xdr:rowOff>47625</xdr:rowOff>
    </xdr:to>
    <xdr:sp>
      <xdr:nvSpPr>
        <xdr:cNvPr id="3" name="Line 3"/>
        <xdr:cNvSpPr>
          <a:spLocks/>
        </xdr:cNvSpPr>
      </xdr:nvSpPr>
      <xdr:spPr>
        <a:xfrm flipH="1" flipV="1">
          <a:off x="4143375" y="1104900"/>
          <a:ext cx="57150" cy="15240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14</xdr:row>
      <xdr:rowOff>95250</xdr:rowOff>
    </xdr:from>
    <xdr:to>
      <xdr:col>5</xdr:col>
      <xdr:colOff>533400</xdr:colOff>
      <xdr:row>18</xdr:row>
      <xdr:rowOff>133350</xdr:rowOff>
    </xdr:to>
    <xdr:sp>
      <xdr:nvSpPr>
        <xdr:cNvPr id="4" name="Line 4"/>
        <xdr:cNvSpPr>
          <a:spLocks/>
        </xdr:cNvSpPr>
      </xdr:nvSpPr>
      <xdr:spPr>
        <a:xfrm flipH="1">
          <a:off x="2219325" y="2505075"/>
          <a:ext cx="1743075" cy="7239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21"/>
  <sheetViews>
    <sheetView workbookViewId="0" topLeftCell="A1">
      <selection activeCell="G7" sqref="G7"/>
    </sheetView>
  </sheetViews>
  <sheetFormatPr defaultColWidth="9.00390625" defaultRowHeight="13.5"/>
  <cols>
    <col min="8" max="8" width="4.50390625" style="0" customWidth="1"/>
  </cols>
  <sheetData>
    <row r="1" ht="13.5">
      <c r="A1" s="2" t="s">
        <v>15</v>
      </c>
    </row>
    <row r="2" ht="13.5">
      <c r="A2" s="7" t="s">
        <v>13</v>
      </c>
    </row>
    <row r="3" ht="13.5">
      <c r="A3" s="2"/>
    </row>
    <row r="4" ht="13.5">
      <c r="A4" s="1"/>
    </row>
    <row r="5" spans="1:6" ht="13.5">
      <c r="A5" s="1" t="s">
        <v>0</v>
      </c>
      <c r="F5" s="1" t="s">
        <v>1</v>
      </c>
    </row>
    <row r="6" spans="1:9" ht="13.5">
      <c r="A6" s="3" t="s">
        <v>2</v>
      </c>
      <c r="B6" s="3" t="s">
        <v>3</v>
      </c>
      <c r="C6" s="3" t="s">
        <v>4</v>
      </c>
      <c r="D6" s="3" t="s">
        <v>5</v>
      </c>
      <c r="F6" s="3" t="s">
        <v>3</v>
      </c>
      <c r="G6" s="3" t="s">
        <v>5</v>
      </c>
      <c r="I6" t="s">
        <v>16</v>
      </c>
    </row>
    <row r="7" spans="1:9" ht="13.5">
      <c r="A7" s="5">
        <v>40128</v>
      </c>
      <c r="B7" s="3" t="s">
        <v>6</v>
      </c>
      <c r="C7" s="3" t="s">
        <v>7</v>
      </c>
      <c r="D7" s="4">
        <v>1200</v>
      </c>
      <c r="F7" s="3" t="s">
        <v>6</v>
      </c>
      <c r="G7" s="6">
        <f>SUMIF($B$7:$B$21,F7,$D$7:$D$21)</f>
        <v>5620</v>
      </c>
      <c r="I7" t="s">
        <v>17</v>
      </c>
    </row>
    <row r="8" spans="1:9" ht="13.5">
      <c r="A8" s="5">
        <v>40130</v>
      </c>
      <c r="B8" s="3" t="s">
        <v>8</v>
      </c>
      <c r="C8" s="3" t="s">
        <v>9</v>
      </c>
      <c r="D8" s="4">
        <v>3500</v>
      </c>
      <c r="F8" s="3" t="s">
        <v>8</v>
      </c>
      <c r="G8" s="6">
        <f>SUMIF($B$7:$B$21,F8,$D$7:$D$21)</f>
        <v>3500</v>
      </c>
      <c r="I8" t="s">
        <v>18</v>
      </c>
    </row>
    <row r="9" spans="1:9" ht="13.5">
      <c r="A9" s="5">
        <v>40132</v>
      </c>
      <c r="B9" s="3" t="s">
        <v>10</v>
      </c>
      <c r="C9" s="3" t="s">
        <v>7</v>
      </c>
      <c r="D9" s="4">
        <v>2000</v>
      </c>
      <c r="F9" s="3" t="s">
        <v>10</v>
      </c>
      <c r="G9" s="6">
        <f>SUMIF($B$7:$B$21,F9,$D$7:$D$21)</f>
        <v>18450</v>
      </c>
      <c r="I9" t="s">
        <v>19</v>
      </c>
    </row>
    <row r="10" spans="1:9" ht="13.5">
      <c r="A10" s="5">
        <v>40135</v>
      </c>
      <c r="B10" s="3" t="s">
        <v>10</v>
      </c>
      <c r="C10" s="3" t="s">
        <v>11</v>
      </c>
      <c r="D10" s="4">
        <v>1850</v>
      </c>
      <c r="F10" s="3" t="s">
        <v>12</v>
      </c>
      <c r="G10" s="6">
        <f>SUMIF($B$7:$B$21,F10,$D$7:$D$21)</f>
        <v>7000</v>
      </c>
      <c r="I10" t="s">
        <v>20</v>
      </c>
    </row>
    <row r="11" spans="1:4" ht="13.5">
      <c r="A11" s="5">
        <v>40139</v>
      </c>
      <c r="B11" s="3" t="s">
        <v>10</v>
      </c>
      <c r="C11" s="3" t="s">
        <v>9</v>
      </c>
      <c r="D11" s="4">
        <v>580</v>
      </c>
    </row>
    <row r="12" spans="1:7" ht="13.5">
      <c r="A12" s="5">
        <v>40141</v>
      </c>
      <c r="B12" s="3" t="s">
        <v>10</v>
      </c>
      <c r="C12" s="3" t="s">
        <v>11</v>
      </c>
      <c r="D12" s="4">
        <v>640</v>
      </c>
      <c r="G12" s="8"/>
    </row>
    <row r="13" spans="1:7" ht="13.5">
      <c r="A13" s="5">
        <v>40143</v>
      </c>
      <c r="B13" s="3" t="s">
        <v>6</v>
      </c>
      <c r="C13" s="3" t="s">
        <v>7</v>
      </c>
      <c r="D13" s="4">
        <v>1600</v>
      </c>
      <c r="F13" s="9" t="s">
        <v>3</v>
      </c>
      <c r="G13" s="3" t="s">
        <v>5</v>
      </c>
    </row>
    <row r="14" spans="1:9" ht="13.5">
      <c r="A14" s="5">
        <v>40145</v>
      </c>
      <c r="B14" s="3" t="s">
        <v>10</v>
      </c>
      <c r="C14" s="3" t="s">
        <v>11</v>
      </c>
      <c r="D14" s="4">
        <v>980</v>
      </c>
      <c r="F14" s="3" t="s">
        <v>6</v>
      </c>
      <c r="G14" s="10">
        <f>DSUM(A6:D21,4,F13:F14)</f>
        <v>5620</v>
      </c>
      <c r="I14" t="s">
        <v>21</v>
      </c>
    </row>
    <row r="15" spans="1:4" ht="13.5">
      <c r="A15" s="5">
        <v>40148</v>
      </c>
      <c r="B15" s="3" t="s">
        <v>12</v>
      </c>
      <c r="C15" s="3" t="s">
        <v>11</v>
      </c>
      <c r="D15" s="4">
        <v>2500</v>
      </c>
    </row>
    <row r="16" spans="1:7" ht="13.5">
      <c r="A16" s="5">
        <v>40151</v>
      </c>
      <c r="B16" s="3" t="s">
        <v>6</v>
      </c>
      <c r="C16" s="3" t="s">
        <v>9</v>
      </c>
      <c r="D16" s="4">
        <v>2100</v>
      </c>
      <c r="F16" s="9" t="s">
        <v>3</v>
      </c>
      <c r="G16" s="3" t="s">
        <v>5</v>
      </c>
    </row>
    <row r="17" spans="1:7" ht="13.5">
      <c r="A17" s="5">
        <v>40152</v>
      </c>
      <c r="B17" s="3" t="s">
        <v>10</v>
      </c>
      <c r="C17" s="3" t="s">
        <v>7</v>
      </c>
      <c r="D17" s="4">
        <v>4600</v>
      </c>
      <c r="F17" s="3" t="s">
        <v>14</v>
      </c>
      <c r="G17" s="10">
        <f>DSUM(A6:D21,D6,F16:F17)</f>
        <v>3500</v>
      </c>
    </row>
    <row r="18" spans="1:4" ht="13.5">
      <c r="A18" s="5">
        <v>40154</v>
      </c>
      <c r="B18" s="3" t="s">
        <v>6</v>
      </c>
      <c r="C18" s="3" t="s">
        <v>7</v>
      </c>
      <c r="D18" s="4">
        <v>720</v>
      </c>
    </row>
    <row r="19" spans="1:4" ht="13.5">
      <c r="A19" s="5">
        <v>40155</v>
      </c>
      <c r="B19" s="3" t="s">
        <v>10</v>
      </c>
      <c r="C19" s="3" t="s">
        <v>9</v>
      </c>
      <c r="D19" s="4">
        <v>1600</v>
      </c>
    </row>
    <row r="20" spans="1:4" ht="13.5">
      <c r="A20" s="5">
        <v>40156</v>
      </c>
      <c r="B20" s="3" t="s">
        <v>10</v>
      </c>
      <c r="C20" s="3" t="s">
        <v>11</v>
      </c>
      <c r="D20" s="4">
        <v>6200</v>
      </c>
    </row>
    <row r="21" spans="1:4" ht="13.5">
      <c r="A21" s="5">
        <v>40157</v>
      </c>
      <c r="B21" s="3" t="s">
        <v>12</v>
      </c>
      <c r="C21" s="3" t="s">
        <v>9</v>
      </c>
      <c r="D21" s="4">
        <v>4500</v>
      </c>
    </row>
  </sheetData>
  <printOptions/>
  <pageMargins left="0.75" right="0.75" top="1" bottom="1" header="0.512" footer="0.51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H18"/>
  <sheetViews>
    <sheetView workbookViewId="0" topLeftCell="A1">
      <selection activeCell="E6" sqref="E6"/>
    </sheetView>
  </sheetViews>
  <sheetFormatPr defaultColWidth="9.00390625" defaultRowHeight="13.5"/>
  <cols>
    <col min="1" max="1" width="13.375" style="0" customWidth="1"/>
    <col min="7" max="7" width="13.00390625" style="0" bestFit="1" customWidth="1"/>
  </cols>
  <sheetData>
    <row r="1" ht="13.5">
      <c r="A1" s="1" t="s">
        <v>167</v>
      </c>
    </row>
    <row r="2" ht="13.5">
      <c r="A2" s="1" t="s">
        <v>178</v>
      </c>
    </row>
    <row r="3" ht="13.5">
      <c r="A3" s="60" t="s">
        <v>180</v>
      </c>
    </row>
    <row r="4" spans="1:3" ht="13.5">
      <c r="A4" s="1" t="s">
        <v>168</v>
      </c>
      <c r="C4" s="60" t="s">
        <v>181</v>
      </c>
    </row>
    <row r="5" spans="1:8" ht="13.5">
      <c r="A5" s="38" t="s">
        <v>2</v>
      </c>
      <c r="B5" s="47" t="s">
        <v>169</v>
      </c>
      <c r="C5" s="47" t="s">
        <v>170</v>
      </c>
      <c r="D5" s="47" t="s">
        <v>171</v>
      </c>
      <c r="E5" s="48" t="s">
        <v>172</v>
      </c>
      <c r="G5" s="49" t="s">
        <v>173</v>
      </c>
      <c r="H5" s="50">
        <v>1300</v>
      </c>
    </row>
    <row r="6" spans="1:8" ht="13.5">
      <c r="A6" s="51">
        <v>39034</v>
      </c>
      <c r="B6" s="52">
        <v>0.4166666666666667</v>
      </c>
      <c r="C6" s="52">
        <v>0.75</v>
      </c>
      <c r="D6" s="55">
        <f>C6-B6</f>
        <v>0.3333333333333333</v>
      </c>
      <c r="E6" s="56">
        <f>WEEKDAY(A6,2)</f>
        <v>1</v>
      </c>
      <c r="G6" s="53" t="s">
        <v>174</v>
      </c>
      <c r="H6" s="54">
        <v>1500</v>
      </c>
    </row>
    <row r="7" spans="1:5" ht="13.5">
      <c r="A7" s="51">
        <v>39035</v>
      </c>
      <c r="B7" s="52">
        <v>0.4166666666666667</v>
      </c>
      <c r="C7" s="52">
        <v>0.75</v>
      </c>
      <c r="D7" s="55">
        <f aca="true" t="shared" si="0" ref="D7:D18">C7-B7</f>
        <v>0.3333333333333333</v>
      </c>
      <c r="E7" s="56">
        <f aca="true" t="shared" si="1" ref="E7:E18">WEEKDAY(A7,2)</f>
        <v>2</v>
      </c>
    </row>
    <row r="8" spans="1:8" ht="13.5">
      <c r="A8" s="51">
        <v>39036</v>
      </c>
      <c r="B8" s="52">
        <v>0.375</v>
      </c>
      <c r="C8" s="52">
        <v>0.7083333333333334</v>
      </c>
      <c r="D8" s="55">
        <f t="shared" si="0"/>
        <v>0.33333333333333337</v>
      </c>
      <c r="E8" s="56">
        <f t="shared" si="1"/>
        <v>3</v>
      </c>
      <c r="G8" s="49" t="s">
        <v>175</v>
      </c>
      <c r="H8" s="57">
        <f>SUMIF(E6:E18,"&lt;=5",D6:D18)</f>
        <v>2.6770833333333335</v>
      </c>
    </row>
    <row r="9" spans="1:8" ht="13.5">
      <c r="A9" s="51">
        <v>39037</v>
      </c>
      <c r="B9" s="52">
        <v>0.375</v>
      </c>
      <c r="C9" s="52">
        <v>0.625</v>
      </c>
      <c r="D9" s="55">
        <f t="shared" si="0"/>
        <v>0.25</v>
      </c>
      <c r="E9" s="56">
        <f t="shared" si="1"/>
        <v>4</v>
      </c>
      <c r="G9" s="53" t="s">
        <v>176</v>
      </c>
      <c r="H9" s="58">
        <f>SUMIF(E6:E18,"&gt;5",D6:D18)</f>
        <v>0.9791666666666667</v>
      </c>
    </row>
    <row r="10" spans="1:5" ht="13.5">
      <c r="A10" s="51">
        <v>39038</v>
      </c>
      <c r="B10" s="52">
        <v>0.3333333333333333</v>
      </c>
      <c r="C10" s="52">
        <v>0.5833333333333334</v>
      </c>
      <c r="D10" s="55">
        <f t="shared" si="0"/>
        <v>0.25000000000000006</v>
      </c>
      <c r="E10" s="56">
        <f t="shared" si="1"/>
        <v>5</v>
      </c>
    </row>
    <row r="11" spans="1:8" ht="13.5">
      <c r="A11" s="51">
        <v>39039</v>
      </c>
      <c r="B11" s="52">
        <v>0.4166666666666667</v>
      </c>
      <c r="C11" s="52">
        <v>0.7291666666666666</v>
      </c>
      <c r="D11" s="55">
        <f t="shared" si="0"/>
        <v>0.31249999999999994</v>
      </c>
      <c r="E11" s="56">
        <f t="shared" si="1"/>
        <v>6</v>
      </c>
      <c r="G11" s="49" t="s">
        <v>177</v>
      </c>
      <c r="H11" s="59">
        <f>H8*24*H5+H9*24*H6</f>
        <v>118775</v>
      </c>
    </row>
    <row r="12" spans="1:5" ht="13.5">
      <c r="A12" s="51">
        <v>39040</v>
      </c>
      <c r="B12" s="52">
        <v>0.4166666666666667</v>
      </c>
      <c r="C12" s="52">
        <v>0.5833333333333334</v>
      </c>
      <c r="D12" s="55">
        <f t="shared" si="0"/>
        <v>0.16666666666666669</v>
      </c>
      <c r="E12" s="56">
        <f t="shared" si="1"/>
        <v>7</v>
      </c>
    </row>
    <row r="13" spans="1:7" ht="13.5">
      <c r="A13" s="51">
        <v>39041</v>
      </c>
      <c r="B13" s="52">
        <v>0.375</v>
      </c>
      <c r="C13" s="52">
        <v>0.7083333333333334</v>
      </c>
      <c r="D13" s="55">
        <f t="shared" si="0"/>
        <v>0.33333333333333337</v>
      </c>
      <c r="E13" s="56">
        <f t="shared" si="1"/>
        <v>1</v>
      </c>
      <c r="G13" s="29" t="s">
        <v>179</v>
      </c>
    </row>
    <row r="14" spans="1:5" ht="13.5">
      <c r="A14" s="51">
        <v>39043</v>
      </c>
      <c r="B14" s="52">
        <v>0.375</v>
      </c>
      <c r="C14" s="52">
        <v>0.59375</v>
      </c>
      <c r="D14" s="55">
        <f t="shared" si="0"/>
        <v>0.21875</v>
      </c>
      <c r="E14" s="56">
        <f t="shared" si="1"/>
        <v>3</v>
      </c>
    </row>
    <row r="15" spans="1:5" ht="13.5">
      <c r="A15" s="51">
        <v>39045</v>
      </c>
      <c r="B15" s="52">
        <v>0.375</v>
      </c>
      <c r="C15" s="52">
        <v>0.6666666666666666</v>
      </c>
      <c r="D15" s="55">
        <f t="shared" si="0"/>
        <v>0.29166666666666663</v>
      </c>
      <c r="E15" s="56">
        <f t="shared" si="1"/>
        <v>5</v>
      </c>
    </row>
    <row r="16" spans="1:5" ht="13.5">
      <c r="A16" s="51">
        <v>39046</v>
      </c>
      <c r="B16" s="52">
        <v>0.4583333333333333</v>
      </c>
      <c r="C16" s="52">
        <v>0.8333333333333334</v>
      </c>
      <c r="D16" s="55">
        <f t="shared" si="0"/>
        <v>0.37500000000000006</v>
      </c>
      <c r="E16" s="56">
        <f t="shared" si="1"/>
        <v>6</v>
      </c>
    </row>
    <row r="17" spans="1:5" ht="13.5">
      <c r="A17" s="51">
        <v>39047</v>
      </c>
      <c r="B17" s="52">
        <v>0.4166666666666667</v>
      </c>
      <c r="C17" s="52">
        <v>0.5416666666666666</v>
      </c>
      <c r="D17" s="55">
        <f t="shared" si="0"/>
        <v>0.12499999999999994</v>
      </c>
      <c r="E17" s="56">
        <f t="shared" si="1"/>
        <v>7</v>
      </c>
    </row>
    <row r="18" spans="1:5" ht="13.5">
      <c r="A18" s="51">
        <v>39048</v>
      </c>
      <c r="B18" s="52">
        <v>0.375</v>
      </c>
      <c r="C18" s="52">
        <v>0.7083333333333334</v>
      </c>
      <c r="D18" s="55">
        <f t="shared" si="0"/>
        <v>0.33333333333333337</v>
      </c>
      <c r="E18" s="56">
        <f t="shared" si="1"/>
        <v>1</v>
      </c>
    </row>
  </sheetData>
  <printOptions/>
  <pageMargins left="0.75" right="0.75" top="1" bottom="1" header="0.512" footer="0.512"/>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A1:D10"/>
  <sheetViews>
    <sheetView workbookViewId="0" topLeftCell="A1">
      <selection activeCell="C14" sqref="C14"/>
    </sheetView>
  </sheetViews>
  <sheetFormatPr defaultColWidth="9.00390625" defaultRowHeight="13.5"/>
  <cols>
    <col min="1" max="3" width="11.00390625" style="0" bestFit="1" customWidth="1"/>
  </cols>
  <sheetData>
    <row r="1" spans="1:4" ht="14.25">
      <c r="A1" s="61" t="s">
        <v>191</v>
      </c>
      <c r="D1" t="s">
        <v>192</v>
      </c>
    </row>
    <row r="3" ht="13.5">
      <c r="B3" s="15" t="s">
        <v>193</v>
      </c>
    </row>
    <row r="6" ht="13.5">
      <c r="A6" s="1" t="s">
        <v>184</v>
      </c>
    </row>
    <row r="7" spans="2:3" ht="13.5">
      <c r="B7" s="27" t="s">
        <v>185</v>
      </c>
      <c r="C7" s="27" t="s">
        <v>186</v>
      </c>
    </row>
    <row r="8" spans="2:3" ht="13.5">
      <c r="B8" s="13">
        <v>540</v>
      </c>
      <c r="C8" s="3" t="s">
        <v>187</v>
      </c>
    </row>
    <row r="9" spans="2:3" ht="13.5">
      <c r="B9" s="27" t="s">
        <v>188</v>
      </c>
      <c r="C9" s="27" t="s">
        <v>189</v>
      </c>
    </row>
    <row r="10" spans="2:3" ht="13.5">
      <c r="B10" s="62">
        <f>CONVERT(B8,C8,C10)</f>
        <v>1.1904963739333214</v>
      </c>
      <c r="C10" s="3" t="s">
        <v>190</v>
      </c>
    </row>
  </sheetData>
  <printOptions/>
  <pageMargins left="0.75" right="0.75" top="1" bottom="1" header="0.512" footer="0.512"/>
  <pageSetup orientation="portrait" paperSize="9" r:id="rId2"/>
  <drawing r:id="rId1"/>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F16" sqref="F16"/>
    </sheetView>
  </sheetViews>
  <sheetFormatPr defaultColWidth="9.00390625" defaultRowHeight="13.5"/>
  <sheetData>
    <row r="1" ht="14.25">
      <c r="A1" s="61" t="s">
        <v>194</v>
      </c>
    </row>
    <row r="2" ht="14.25">
      <c r="A2" s="61" t="s">
        <v>195</v>
      </c>
    </row>
    <row r="4" ht="13.5">
      <c r="A4" s="1" t="s">
        <v>196</v>
      </c>
    </row>
    <row r="5" ht="13.5">
      <c r="B5" s="63" t="s">
        <v>197</v>
      </c>
    </row>
    <row r="6" spans="1:5" ht="13.5">
      <c r="A6" s="38" t="s">
        <v>198</v>
      </c>
      <c r="B6" s="38" t="s">
        <v>199</v>
      </c>
      <c r="D6" s="38" t="s">
        <v>200</v>
      </c>
      <c r="E6" s="27">
        <f>COUNT(B7:B16)</f>
        <v>8</v>
      </c>
    </row>
    <row r="7" spans="1:5" ht="13.5">
      <c r="A7" s="3" t="s">
        <v>201</v>
      </c>
      <c r="B7" s="3">
        <v>76</v>
      </c>
      <c r="D7" s="38" t="s">
        <v>202</v>
      </c>
      <c r="E7" s="27">
        <f>COUNTA(B7:B16)-E6</f>
        <v>2</v>
      </c>
    </row>
    <row r="8" spans="1:2" ht="13.5">
      <c r="A8" s="3" t="s">
        <v>203</v>
      </c>
      <c r="B8" s="3">
        <v>64</v>
      </c>
    </row>
    <row r="9" spans="1:2" ht="13.5">
      <c r="A9" s="3" t="s">
        <v>204</v>
      </c>
      <c r="B9" s="3" t="s">
        <v>205</v>
      </c>
    </row>
    <row r="10" spans="1:2" ht="13.5">
      <c r="A10" s="3" t="s">
        <v>206</v>
      </c>
      <c r="B10" s="3">
        <v>82</v>
      </c>
    </row>
    <row r="11" spans="1:2" ht="13.5">
      <c r="A11" s="3" t="s">
        <v>207</v>
      </c>
      <c r="B11" s="3">
        <v>57</v>
      </c>
    </row>
    <row r="12" spans="1:2" ht="13.5">
      <c r="A12" s="3" t="s">
        <v>208</v>
      </c>
      <c r="B12" s="3" t="s">
        <v>205</v>
      </c>
    </row>
    <row r="13" spans="1:2" ht="13.5">
      <c r="A13" s="3" t="s">
        <v>209</v>
      </c>
      <c r="B13" s="3">
        <v>69</v>
      </c>
    </row>
    <row r="14" spans="1:2" ht="13.5">
      <c r="A14" s="3" t="s">
        <v>210</v>
      </c>
      <c r="B14" s="3">
        <v>68</v>
      </c>
    </row>
    <row r="15" spans="1:2" ht="13.5">
      <c r="A15" s="3" t="s">
        <v>211</v>
      </c>
      <c r="B15" s="3">
        <v>81</v>
      </c>
    </row>
    <row r="16" spans="1:2" ht="13.5">
      <c r="A16" s="3" t="s">
        <v>212</v>
      </c>
      <c r="B16" s="3">
        <v>75</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I25"/>
  <sheetViews>
    <sheetView workbookViewId="0" topLeftCell="A1">
      <selection activeCell="G26" sqref="G26"/>
    </sheetView>
  </sheetViews>
  <sheetFormatPr defaultColWidth="9.00390625" defaultRowHeight="13.5"/>
  <sheetData>
    <row r="1" ht="14.25">
      <c r="A1" s="61" t="s">
        <v>213</v>
      </c>
    </row>
    <row r="4" ht="13.5">
      <c r="A4" s="1" t="s">
        <v>214</v>
      </c>
    </row>
    <row r="5" spans="1:7" ht="13.5">
      <c r="A5" s="38" t="s">
        <v>198</v>
      </c>
      <c r="B5" s="38" t="s">
        <v>215</v>
      </c>
      <c r="C5" s="38" t="s">
        <v>216</v>
      </c>
      <c r="D5" s="38" t="s">
        <v>217</v>
      </c>
      <c r="F5" s="38" t="s">
        <v>215</v>
      </c>
      <c r="G5" s="38" t="s">
        <v>218</v>
      </c>
    </row>
    <row r="6" spans="1:7" ht="13.5">
      <c r="A6" s="3" t="s">
        <v>219</v>
      </c>
      <c r="B6" s="26" t="s">
        <v>220</v>
      </c>
      <c r="C6" s="3" t="s">
        <v>221</v>
      </c>
      <c r="D6" s="64">
        <v>10</v>
      </c>
      <c r="F6" s="18" t="s">
        <v>222</v>
      </c>
      <c r="G6" s="28">
        <f>COUNTIF(B6:B15,"男")</f>
        <v>6</v>
      </c>
    </row>
    <row r="7" spans="1:7" ht="13.5">
      <c r="A7" s="3" t="s">
        <v>223</v>
      </c>
      <c r="B7" s="26" t="s">
        <v>224</v>
      </c>
      <c r="C7" s="3" t="s">
        <v>225</v>
      </c>
      <c r="D7" s="64">
        <v>8</v>
      </c>
      <c r="F7" s="18" t="s">
        <v>226</v>
      </c>
      <c r="G7" s="28">
        <f>COUNTIF(B6:B15,"女")</f>
        <v>4</v>
      </c>
    </row>
    <row r="8" spans="1:4" ht="13.5">
      <c r="A8" s="3" t="s">
        <v>227</v>
      </c>
      <c r="B8" s="26" t="s">
        <v>224</v>
      </c>
      <c r="C8" s="3" t="s">
        <v>228</v>
      </c>
      <c r="D8" s="64">
        <v>7</v>
      </c>
    </row>
    <row r="9" spans="1:4" ht="13.5">
      <c r="A9" s="3" t="s">
        <v>229</v>
      </c>
      <c r="B9" s="26" t="s">
        <v>224</v>
      </c>
      <c r="C9" s="3" t="s">
        <v>221</v>
      </c>
      <c r="D9" s="64">
        <v>10</v>
      </c>
    </row>
    <row r="10" spans="1:4" ht="13.5">
      <c r="A10" s="3" t="s">
        <v>230</v>
      </c>
      <c r="B10" s="26" t="s">
        <v>224</v>
      </c>
      <c r="C10" s="3" t="s">
        <v>231</v>
      </c>
      <c r="D10" s="64">
        <v>9</v>
      </c>
    </row>
    <row r="11" spans="1:4" ht="13.5">
      <c r="A11" s="3" t="s">
        <v>232</v>
      </c>
      <c r="B11" s="26" t="s">
        <v>220</v>
      </c>
      <c r="C11" s="3" t="s">
        <v>225</v>
      </c>
      <c r="D11" s="64">
        <v>10</v>
      </c>
    </row>
    <row r="12" spans="1:4" ht="13.5">
      <c r="A12" s="3" t="s">
        <v>233</v>
      </c>
      <c r="B12" s="26" t="s">
        <v>224</v>
      </c>
      <c r="C12" s="3" t="s">
        <v>228</v>
      </c>
      <c r="D12" s="64">
        <v>9</v>
      </c>
    </row>
    <row r="13" spans="1:4" ht="13.5">
      <c r="A13" s="3" t="s">
        <v>234</v>
      </c>
      <c r="B13" s="26" t="s">
        <v>220</v>
      </c>
      <c r="C13" s="3" t="s">
        <v>221</v>
      </c>
      <c r="D13" s="64">
        <v>6</v>
      </c>
    </row>
    <row r="14" spans="1:4" ht="13.5">
      <c r="A14" s="3" t="s">
        <v>235</v>
      </c>
      <c r="B14" s="26" t="s">
        <v>224</v>
      </c>
      <c r="C14" s="3" t="s">
        <v>225</v>
      </c>
      <c r="D14" s="64">
        <v>8</v>
      </c>
    </row>
    <row r="15" spans="1:4" ht="13.5">
      <c r="A15" s="3" t="s">
        <v>236</v>
      </c>
      <c r="B15" s="26" t="s">
        <v>220</v>
      </c>
      <c r="C15" s="3" t="s">
        <v>221</v>
      </c>
      <c r="D15" s="64">
        <v>10</v>
      </c>
    </row>
    <row r="25" ht="13.5">
      <c r="I25" s="65"/>
    </row>
  </sheetData>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G19"/>
  <sheetViews>
    <sheetView workbookViewId="0" topLeftCell="A1">
      <selection activeCell="D23" sqref="D23"/>
    </sheetView>
  </sheetViews>
  <sheetFormatPr defaultColWidth="9.00390625" defaultRowHeight="13.5"/>
  <sheetData>
    <row r="1" ht="14.25">
      <c r="A1" s="61" t="s">
        <v>237</v>
      </c>
    </row>
    <row r="4" ht="13.5">
      <c r="A4" s="1" t="s">
        <v>214</v>
      </c>
    </row>
    <row r="5" spans="1:7" ht="13.5">
      <c r="A5" s="26" t="s">
        <v>198</v>
      </c>
      <c r="B5" s="26" t="s">
        <v>215</v>
      </c>
      <c r="C5" s="26" t="s">
        <v>216</v>
      </c>
      <c r="D5" s="26" t="s">
        <v>217</v>
      </c>
      <c r="F5" s="38" t="s">
        <v>215</v>
      </c>
      <c r="G5" s="38" t="s">
        <v>216</v>
      </c>
    </row>
    <row r="6" spans="1:7" ht="13.5">
      <c r="A6" s="27" t="s">
        <v>219</v>
      </c>
      <c r="B6" s="26" t="s">
        <v>220</v>
      </c>
      <c r="C6" s="27" t="s">
        <v>221</v>
      </c>
      <c r="D6" s="67">
        <v>10</v>
      </c>
      <c r="F6" s="18" t="s">
        <v>224</v>
      </c>
      <c r="G6" s="3" t="s">
        <v>225</v>
      </c>
    </row>
    <row r="7" spans="1:4" ht="13.5">
      <c r="A7" s="27" t="s">
        <v>223</v>
      </c>
      <c r="B7" s="26" t="s">
        <v>224</v>
      </c>
      <c r="C7" s="27" t="s">
        <v>225</v>
      </c>
      <c r="D7" s="67">
        <v>8</v>
      </c>
    </row>
    <row r="8" spans="1:4" ht="13.5">
      <c r="A8" s="27" t="s">
        <v>227</v>
      </c>
      <c r="B8" s="26" t="s">
        <v>224</v>
      </c>
      <c r="C8" s="27" t="s">
        <v>228</v>
      </c>
      <c r="D8" s="67">
        <v>7</v>
      </c>
    </row>
    <row r="9" spans="1:7" ht="13.5">
      <c r="A9" s="27" t="s">
        <v>229</v>
      </c>
      <c r="B9" s="26" t="s">
        <v>224</v>
      </c>
      <c r="C9" s="27" t="s">
        <v>221</v>
      </c>
      <c r="D9" s="67">
        <v>10</v>
      </c>
      <c r="F9" s="38" t="s">
        <v>218</v>
      </c>
      <c r="G9" s="66">
        <f>DCOUNTA(A5:D15,,F5:G6)</f>
        <v>2</v>
      </c>
    </row>
    <row r="10" spans="1:4" ht="13.5">
      <c r="A10" s="27" t="s">
        <v>230</v>
      </c>
      <c r="B10" s="26" t="s">
        <v>224</v>
      </c>
      <c r="C10" s="27" t="s">
        <v>231</v>
      </c>
      <c r="D10" s="67">
        <v>9</v>
      </c>
    </row>
    <row r="11" spans="1:4" ht="13.5">
      <c r="A11" s="27" t="s">
        <v>232</v>
      </c>
      <c r="B11" s="26" t="s">
        <v>220</v>
      </c>
      <c r="C11" s="27" t="s">
        <v>225</v>
      </c>
      <c r="D11" s="67">
        <v>10</v>
      </c>
    </row>
    <row r="12" spans="1:4" ht="13.5">
      <c r="A12" s="27" t="s">
        <v>233</v>
      </c>
      <c r="B12" s="26" t="s">
        <v>224</v>
      </c>
      <c r="C12" s="27" t="s">
        <v>228</v>
      </c>
      <c r="D12" s="67">
        <v>9</v>
      </c>
    </row>
    <row r="13" spans="1:4" ht="13.5">
      <c r="A13" s="27" t="s">
        <v>234</v>
      </c>
      <c r="B13" s="26" t="s">
        <v>220</v>
      </c>
      <c r="C13" s="27" t="s">
        <v>221</v>
      </c>
      <c r="D13" s="67">
        <v>6</v>
      </c>
    </row>
    <row r="14" spans="1:4" ht="13.5">
      <c r="A14" s="27" t="s">
        <v>235</v>
      </c>
      <c r="B14" s="26" t="s">
        <v>224</v>
      </c>
      <c r="C14" s="27" t="s">
        <v>225</v>
      </c>
      <c r="D14" s="67">
        <v>8</v>
      </c>
    </row>
    <row r="15" spans="1:4" ht="13.5">
      <c r="A15" s="27" t="s">
        <v>236</v>
      </c>
      <c r="B15" s="26" t="s">
        <v>220</v>
      </c>
      <c r="C15" s="27" t="s">
        <v>221</v>
      </c>
      <c r="D15" s="67">
        <v>10</v>
      </c>
    </row>
    <row r="19" ht="13.5">
      <c r="C19" t="s">
        <v>238</v>
      </c>
    </row>
  </sheetData>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A1:G21"/>
  <sheetViews>
    <sheetView workbookViewId="0" topLeftCell="A1">
      <selection activeCell="H7" sqref="H7"/>
    </sheetView>
  </sheetViews>
  <sheetFormatPr defaultColWidth="9.00390625" defaultRowHeight="13.5"/>
  <sheetData>
    <row r="1" ht="14.25">
      <c r="A1" s="61" t="s">
        <v>248</v>
      </c>
    </row>
    <row r="2" ht="14.25">
      <c r="A2" s="61" t="s">
        <v>249</v>
      </c>
    </row>
    <row r="3" ht="13.5">
      <c r="B3" t="s">
        <v>250</v>
      </c>
    </row>
    <row r="4" ht="13.5">
      <c r="B4" t="s">
        <v>251</v>
      </c>
    </row>
    <row r="5" ht="13.5">
      <c r="A5" s="1" t="s">
        <v>239</v>
      </c>
    </row>
    <row r="6" spans="1:7" ht="13.5">
      <c r="A6" s="38" t="s">
        <v>198</v>
      </c>
      <c r="B6" s="38" t="s">
        <v>216</v>
      </c>
      <c r="C6" s="38" t="s">
        <v>199</v>
      </c>
      <c r="E6" s="38" t="s">
        <v>240</v>
      </c>
      <c r="F6" s="68" t="s">
        <v>259</v>
      </c>
      <c r="G6" s="69"/>
    </row>
    <row r="7" spans="1:6" ht="13.5">
      <c r="A7" s="3" t="s">
        <v>219</v>
      </c>
      <c r="B7" s="3" t="s">
        <v>241</v>
      </c>
      <c r="C7" s="27">
        <v>50</v>
      </c>
      <c r="E7" s="28">
        <f>MEDIAN(C7:C21)</f>
        <v>50</v>
      </c>
      <c r="F7">
        <f>AVERAGE(C7:C21)</f>
        <v>56</v>
      </c>
    </row>
    <row r="8" spans="1:5" ht="13.5">
      <c r="A8" s="3" t="s">
        <v>223</v>
      </c>
      <c r="B8" s="3" t="s">
        <v>225</v>
      </c>
      <c r="C8" s="27">
        <v>40</v>
      </c>
      <c r="E8" s="38" t="s">
        <v>242</v>
      </c>
    </row>
    <row r="9" spans="1:5" ht="13.5">
      <c r="A9" s="3" t="s">
        <v>227</v>
      </c>
      <c r="B9" s="3" t="s">
        <v>228</v>
      </c>
      <c r="C9" s="27">
        <v>45</v>
      </c>
      <c r="E9" s="28">
        <f>MODE(C7:C21)</f>
        <v>65</v>
      </c>
    </row>
    <row r="10" spans="1:3" ht="13.5">
      <c r="A10" s="3" t="s">
        <v>229</v>
      </c>
      <c r="B10" s="3" t="s">
        <v>241</v>
      </c>
      <c r="C10" s="27">
        <v>65</v>
      </c>
    </row>
    <row r="11" spans="1:3" ht="13.5">
      <c r="A11" s="3" t="s">
        <v>230</v>
      </c>
      <c r="B11" s="3" t="s">
        <v>241</v>
      </c>
      <c r="C11" s="27">
        <v>40</v>
      </c>
    </row>
    <row r="12" spans="1:3" ht="13.5">
      <c r="A12" s="3" t="s">
        <v>232</v>
      </c>
      <c r="B12" s="3" t="s">
        <v>225</v>
      </c>
      <c r="C12" s="27">
        <v>65</v>
      </c>
    </row>
    <row r="13" spans="1:3" ht="13.5">
      <c r="A13" s="3" t="s">
        <v>233</v>
      </c>
      <c r="B13" s="3" t="s">
        <v>228</v>
      </c>
      <c r="C13" s="27">
        <v>60</v>
      </c>
    </row>
    <row r="14" spans="1:3" ht="13.5">
      <c r="A14" s="3" t="s">
        <v>234</v>
      </c>
      <c r="B14" s="3" t="s">
        <v>241</v>
      </c>
      <c r="C14" s="27">
        <v>90</v>
      </c>
    </row>
    <row r="15" spans="1:3" ht="13.5">
      <c r="A15" s="3" t="s">
        <v>235</v>
      </c>
      <c r="B15" s="3" t="s">
        <v>225</v>
      </c>
      <c r="C15" s="27">
        <v>50</v>
      </c>
    </row>
    <row r="16" spans="1:3" ht="13.5">
      <c r="A16" s="3" t="s">
        <v>236</v>
      </c>
      <c r="B16" s="3" t="s">
        <v>241</v>
      </c>
      <c r="C16" s="27">
        <v>30</v>
      </c>
    </row>
    <row r="17" spans="1:3" ht="13.5">
      <c r="A17" s="3" t="s">
        <v>243</v>
      </c>
      <c r="B17" s="3" t="s">
        <v>228</v>
      </c>
      <c r="C17" s="27">
        <v>75</v>
      </c>
    </row>
    <row r="18" spans="1:3" ht="13.5">
      <c r="A18" s="3" t="s">
        <v>244</v>
      </c>
      <c r="B18" s="3" t="s">
        <v>241</v>
      </c>
      <c r="C18" s="27">
        <v>65</v>
      </c>
    </row>
    <row r="19" spans="1:3" ht="13.5">
      <c r="A19" s="3" t="s">
        <v>245</v>
      </c>
      <c r="B19" s="3" t="s">
        <v>225</v>
      </c>
      <c r="C19" s="27">
        <v>85</v>
      </c>
    </row>
    <row r="20" spans="1:3" ht="13.5">
      <c r="A20" s="3" t="s">
        <v>246</v>
      </c>
      <c r="B20" s="3" t="s">
        <v>241</v>
      </c>
      <c r="C20" s="27">
        <v>35</v>
      </c>
    </row>
    <row r="21" spans="1:3" ht="13.5">
      <c r="A21" s="3" t="s">
        <v>247</v>
      </c>
      <c r="B21" s="3" t="s">
        <v>241</v>
      </c>
      <c r="C21" s="27">
        <v>45</v>
      </c>
    </row>
  </sheetData>
  <printOptions/>
  <pageMargins left="0.75" right="0.75" top="1" bottom="1" header="0.512" footer="0.512"/>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I26"/>
  <sheetViews>
    <sheetView workbookViewId="0" topLeftCell="A1">
      <selection activeCell="G9" sqref="G9"/>
    </sheetView>
  </sheetViews>
  <sheetFormatPr defaultColWidth="9.00390625" defaultRowHeight="13.5"/>
  <cols>
    <col min="1" max="1" width="12.00390625" style="0" customWidth="1"/>
    <col min="5" max="5" width="2.25390625" style="0" customWidth="1"/>
    <col min="8" max="8" width="2.875" style="0" customWidth="1"/>
  </cols>
  <sheetData>
    <row r="1" ht="14.25">
      <c r="A1" s="61" t="s">
        <v>252</v>
      </c>
    </row>
    <row r="4" ht="13.5">
      <c r="A4" s="1" t="s">
        <v>239</v>
      </c>
    </row>
    <row r="5" spans="1:7" ht="13.5">
      <c r="A5" s="26" t="s">
        <v>198</v>
      </c>
      <c r="B5" s="26" t="s">
        <v>215</v>
      </c>
      <c r="C5" s="26" t="s">
        <v>216</v>
      </c>
      <c r="D5" s="26" t="s">
        <v>199</v>
      </c>
      <c r="F5" s="38" t="s">
        <v>215</v>
      </c>
      <c r="G5" s="38" t="s">
        <v>216</v>
      </c>
    </row>
    <row r="6" spans="1:7" ht="13.5">
      <c r="A6" s="27" t="s">
        <v>219</v>
      </c>
      <c r="B6" s="26" t="s">
        <v>220</v>
      </c>
      <c r="C6" s="27" t="s">
        <v>241</v>
      </c>
      <c r="D6" s="27">
        <v>50</v>
      </c>
      <c r="F6" s="18" t="s">
        <v>224</v>
      </c>
      <c r="G6" s="3" t="s">
        <v>241</v>
      </c>
    </row>
    <row r="7" spans="1:4" ht="13.5">
      <c r="A7" s="27" t="s">
        <v>223</v>
      </c>
      <c r="B7" s="26" t="s">
        <v>224</v>
      </c>
      <c r="C7" s="27" t="s">
        <v>225</v>
      </c>
      <c r="D7" s="27">
        <v>40</v>
      </c>
    </row>
    <row r="8" spans="1:9" ht="13.5">
      <c r="A8" s="27" t="s">
        <v>227</v>
      </c>
      <c r="B8" s="26" t="s">
        <v>224</v>
      </c>
      <c r="C8" s="27" t="s">
        <v>228</v>
      </c>
      <c r="D8" s="27">
        <v>45</v>
      </c>
      <c r="I8" t="s">
        <v>258</v>
      </c>
    </row>
    <row r="9" spans="1:9" ht="13.5">
      <c r="A9" s="27" t="s">
        <v>229</v>
      </c>
      <c r="B9" s="26" t="s">
        <v>224</v>
      </c>
      <c r="C9" s="27" t="s">
        <v>241</v>
      </c>
      <c r="D9" s="27">
        <v>65</v>
      </c>
      <c r="F9" s="38" t="s">
        <v>218</v>
      </c>
      <c r="G9" s="28">
        <f>DCOUNTA(A5:D20,"得点",F5:G6)</f>
        <v>4</v>
      </c>
      <c r="I9" t="s">
        <v>257</v>
      </c>
    </row>
    <row r="10" spans="1:9" ht="13.5">
      <c r="A10" s="27" t="s">
        <v>230</v>
      </c>
      <c r="B10" s="26" t="s">
        <v>224</v>
      </c>
      <c r="C10" s="27" t="s">
        <v>241</v>
      </c>
      <c r="D10" s="27">
        <v>40</v>
      </c>
      <c r="F10" s="38" t="s">
        <v>253</v>
      </c>
      <c r="G10" s="28">
        <f>DAVERAGE(A5:D20,"得点",F5:G6)</f>
        <v>51.25</v>
      </c>
      <c r="I10" t="s">
        <v>260</v>
      </c>
    </row>
    <row r="11" spans="1:9" ht="13.5">
      <c r="A11" s="27" t="s">
        <v>232</v>
      </c>
      <c r="B11" s="26" t="s">
        <v>220</v>
      </c>
      <c r="C11" s="27" t="s">
        <v>225</v>
      </c>
      <c r="D11" s="27">
        <v>65</v>
      </c>
      <c r="I11" t="s">
        <v>261</v>
      </c>
    </row>
    <row r="12" spans="1:9" ht="13.5">
      <c r="A12" s="27" t="s">
        <v>233</v>
      </c>
      <c r="B12" s="26" t="s">
        <v>224</v>
      </c>
      <c r="C12" s="27" t="s">
        <v>228</v>
      </c>
      <c r="D12" s="27">
        <v>60</v>
      </c>
      <c r="I12" t="s">
        <v>262</v>
      </c>
    </row>
    <row r="13" spans="1:4" ht="13.5">
      <c r="A13" s="27" t="s">
        <v>234</v>
      </c>
      <c r="B13" s="26" t="s">
        <v>220</v>
      </c>
      <c r="C13" s="27" t="s">
        <v>241</v>
      </c>
      <c r="D13" s="27">
        <v>90</v>
      </c>
    </row>
    <row r="14" spans="1:4" ht="13.5">
      <c r="A14" s="27" t="s">
        <v>235</v>
      </c>
      <c r="B14" s="26" t="s">
        <v>224</v>
      </c>
      <c r="C14" s="27" t="s">
        <v>225</v>
      </c>
      <c r="D14" s="27">
        <v>50</v>
      </c>
    </row>
    <row r="15" spans="1:4" ht="13.5">
      <c r="A15" s="27" t="s">
        <v>236</v>
      </c>
      <c r="B15" s="26" t="s">
        <v>220</v>
      </c>
      <c r="C15" s="27" t="s">
        <v>241</v>
      </c>
      <c r="D15" s="27">
        <v>30</v>
      </c>
    </row>
    <row r="16" spans="1:4" ht="13.5">
      <c r="A16" s="27" t="s">
        <v>243</v>
      </c>
      <c r="B16" s="26" t="s">
        <v>224</v>
      </c>
      <c r="C16" s="27" t="s">
        <v>228</v>
      </c>
      <c r="D16" s="27">
        <v>75</v>
      </c>
    </row>
    <row r="17" spans="1:4" ht="13.5">
      <c r="A17" s="27" t="s">
        <v>244</v>
      </c>
      <c r="B17" s="26" t="s">
        <v>224</v>
      </c>
      <c r="C17" s="27" t="s">
        <v>241</v>
      </c>
      <c r="D17" s="27">
        <v>65</v>
      </c>
    </row>
    <row r="18" spans="1:4" ht="13.5">
      <c r="A18" s="27" t="s">
        <v>245</v>
      </c>
      <c r="B18" s="26" t="s">
        <v>220</v>
      </c>
      <c r="C18" s="27" t="s">
        <v>225</v>
      </c>
      <c r="D18" s="27">
        <v>85</v>
      </c>
    </row>
    <row r="19" spans="1:4" ht="13.5">
      <c r="A19" s="27" t="s">
        <v>246</v>
      </c>
      <c r="B19" s="26" t="s">
        <v>224</v>
      </c>
      <c r="C19" s="27" t="s">
        <v>241</v>
      </c>
      <c r="D19" s="27">
        <v>35</v>
      </c>
    </row>
    <row r="20" spans="1:4" ht="13.5">
      <c r="A20" s="27" t="s">
        <v>247</v>
      </c>
      <c r="B20" s="26" t="s">
        <v>220</v>
      </c>
      <c r="C20" s="27" t="s">
        <v>241</v>
      </c>
      <c r="D20" s="27">
        <v>45</v>
      </c>
    </row>
    <row r="24" ht="13.5">
      <c r="A24" t="s">
        <v>254</v>
      </c>
    </row>
    <row r="25" ht="13.5">
      <c r="A25" t="s">
        <v>255</v>
      </c>
    </row>
    <row r="26" ht="13.5">
      <c r="A26" t="s">
        <v>256</v>
      </c>
    </row>
  </sheetData>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A1:G22"/>
  <sheetViews>
    <sheetView workbookViewId="0" topLeftCell="A1">
      <selection activeCell="L25" sqref="L25"/>
    </sheetView>
  </sheetViews>
  <sheetFormatPr defaultColWidth="9.00390625" defaultRowHeight="13.5"/>
  <sheetData>
    <row r="1" ht="13.5">
      <c r="A1" s="1" t="s">
        <v>263</v>
      </c>
    </row>
    <row r="2" ht="13.5">
      <c r="A2" s="1" t="s">
        <v>264</v>
      </c>
    </row>
    <row r="6" ht="13.5">
      <c r="A6" s="1" t="s">
        <v>239</v>
      </c>
    </row>
    <row r="7" spans="1:7" ht="13.5">
      <c r="A7" s="26" t="s">
        <v>198</v>
      </c>
      <c r="B7" s="26" t="s">
        <v>215</v>
      </c>
      <c r="C7" s="26" t="s">
        <v>216</v>
      </c>
      <c r="D7" s="26" t="s">
        <v>199</v>
      </c>
      <c r="F7" s="26" t="s">
        <v>215</v>
      </c>
      <c r="G7" s="26" t="s">
        <v>216</v>
      </c>
    </row>
    <row r="8" spans="1:7" ht="13.5">
      <c r="A8" s="27" t="s">
        <v>219</v>
      </c>
      <c r="B8" s="26" t="s">
        <v>220</v>
      </c>
      <c r="C8" s="27" t="s">
        <v>241</v>
      </c>
      <c r="D8" s="27">
        <v>50</v>
      </c>
      <c r="F8" s="18" t="s">
        <v>224</v>
      </c>
      <c r="G8" s="18" t="s">
        <v>241</v>
      </c>
    </row>
    <row r="9" spans="1:4" ht="13.5">
      <c r="A9" s="27" t="s">
        <v>223</v>
      </c>
      <c r="B9" s="26" t="s">
        <v>224</v>
      </c>
      <c r="C9" s="27" t="s">
        <v>225</v>
      </c>
      <c r="D9" s="27">
        <v>40</v>
      </c>
    </row>
    <row r="10" spans="1:4" ht="13.5">
      <c r="A10" s="27" t="s">
        <v>227</v>
      </c>
      <c r="B10" s="26" t="s">
        <v>224</v>
      </c>
      <c r="C10" s="27" t="s">
        <v>228</v>
      </c>
      <c r="D10" s="27">
        <v>45</v>
      </c>
    </row>
    <row r="11" spans="1:4" ht="13.5">
      <c r="A11" s="27" t="s">
        <v>229</v>
      </c>
      <c r="B11" s="26" t="s">
        <v>224</v>
      </c>
      <c r="C11" s="27" t="s">
        <v>241</v>
      </c>
      <c r="D11" s="27">
        <v>65</v>
      </c>
    </row>
    <row r="12" spans="1:7" ht="13.5">
      <c r="A12" s="27" t="s">
        <v>230</v>
      </c>
      <c r="B12" s="26" t="s">
        <v>224</v>
      </c>
      <c r="C12" s="27" t="s">
        <v>241</v>
      </c>
      <c r="D12" s="27">
        <v>40</v>
      </c>
      <c r="F12" s="26" t="s">
        <v>265</v>
      </c>
      <c r="G12" s="28">
        <f>DMAX(A7:D22,D7,F7:G8)</f>
        <v>65</v>
      </c>
    </row>
    <row r="13" spans="1:7" ht="13.5">
      <c r="A13" s="27" t="s">
        <v>232</v>
      </c>
      <c r="B13" s="26" t="s">
        <v>220</v>
      </c>
      <c r="C13" s="27" t="s">
        <v>225</v>
      </c>
      <c r="D13" s="27">
        <v>65</v>
      </c>
      <c r="F13" s="26" t="s">
        <v>266</v>
      </c>
      <c r="G13" s="28">
        <f>DMIN(A7:D22,D7,F7:G8)</f>
        <v>35</v>
      </c>
    </row>
    <row r="14" spans="1:4" ht="13.5">
      <c r="A14" s="27" t="s">
        <v>233</v>
      </c>
      <c r="B14" s="26" t="s">
        <v>224</v>
      </c>
      <c r="C14" s="27" t="s">
        <v>228</v>
      </c>
      <c r="D14" s="27">
        <v>60</v>
      </c>
    </row>
    <row r="15" spans="1:4" ht="13.5">
      <c r="A15" s="27" t="s">
        <v>234</v>
      </c>
      <c r="B15" s="26" t="s">
        <v>220</v>
      </c>
      <c r="C15" s="27" t="s">
        <v>241</v>
      </c>
      <c r="D15" s="27">
        <v>90</v>
      </c>
    </row>
    <row r="16" spans="1:4" ht="13.5">
      <c r="A16" s="27" t="s">
        <v>235</v>
      </c>
      <c r="B16" s="26" t="s">
        <v>224</v>
      </c>
      <c r="C16" s="27" t="s">
        <v>225</v>
      </c>
      <c r="D16" s="27">
        <v>50</v>
      </c>
    </row>
    <row r="17" spans="1:4" ht="13.5">
      <c r="A17" s="27" t="s">
        <v>236</v>
      </c>
      <c r="B17" s="26" t="s">
        <v>220</v>
      </c>
      <c r="C17" s="27" t="s">
        <v>241</v>
      </c>
      <c r="D17" s="27">
        <v>30</v>
      </c>
    </row>
    <row r="18" spans="1:4" ht="13.5">
      <c r="A18" s="27" t="s">
        <v>243</v>
      </c>
      <c r="B18" s="26" t="s">
        <v>224</v>
      </c>
      <c r="C18" s="27" t="s">
        <v>228</v>
      </c>
      <c r="D18" s="27">
        <v>75</v>
      </c>
    </row>
    <row r="19" spans="1:4" ht="13.5">
      <c r="A19" s="27" t="s">
        <v>244</v>
      </c>
      <c r="B19" s="26" t="s">
        <v>224</v>
      </c>
      <c r="C19" s="27" t="s">
        <v>241</v>
      </c>
      <c r="D19" s="27">
        <v>65</v>
      </c>
    </row>
    <row r="20" spans="1:4" ht="13.5">
      <c r="A20" s="27" t="s">
        <v>245</v>
      </c>
      <c r="B20" s="26" t="s">
        <v>220</v>
      </c>
      <c r="C20" s="27" t="s">
        <v>225</v>
      </c>
      <c r="D20" s="27">
        <v>85</v>
      </c>
    </row>
    <row r="21" spans="1:4" ht="13.5">
      <c r="A21" s="27" t="s">
        <v>246</v>
      </c>
      <c r="B21" s="26" t="s">
        <v>224</v>
      </c>
      <c r="C21" s="27" t="s">
        <v>241</v>
      </c>
      <c r="D21" s="27">
        <v>35</v>
      </c>
    </row>
    <row r="22" spans="1:4" ht="13.5">
      <c r="A22" s="27" t="s">
        <v>247</v>
      </c>
      <c r="B22" s="26" t="s">
        <v>220</v>
      </c>
      <c r="C22" s="27" t="s">
        <v>241</v>
      </c>
      <c r="D22" s="27">
        <v>45</v>
      </c>
    </row>
  </sheetData>
  <printOptions/>
  <pageMargins left="0.75" right="0.75" top="1" bottom="1" header="0.512" footer="0.512"/>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A1:G22"/>
  <sheetViews>
    <sheetView workbookViewId="0" topLeftCell="A1">
      <selection activeCell="G25" sqref="G25"/>
    </sheetView>
  </sheetViews>
  <sheetFormatPr defaultColWidth="9.00390625" defaultRowHeight="13.5"/>
  <cols>
    <col min="1" max="1" width="11.875" style="0" customWidth="1"/>
    <col min="7" max="7" width="9.50390625" style="0" bestFit="1" customWidth="1"/>
  </cols>
  <sheetData>
    <row r="1" ht="14.25">
      <c r="A1" s="61" t="s">
        <v>267</v>
      </c>
    </row>
    <row r="2" ht="13.5">
      <c r="A2" s="1" t="s">
        <v>431</v>
      </c>
    </row>
    <row r="3" ht="13.5">
      <c r="B3" s="70" t="s">
        <v>268</v>
      </c>
    </row>
    <row r="4" ht="13.5">
      <c r="B4" t="s">
        <v>269</v>
      </c>
    </row>
    <row r="6" ht="13.5">
      <c r="A6" s="1" t="s">
        <v>239</v>
      </c>
    </row>
    <row r="7" spans="1:7" ht="13.5">
      <c r="A7" s="26" t="s">
        <v>198</v>
      </c>
      <c r="B7" s="26" t="s">
        <v>215</v>
      </c>
      <c r="C7" s="26" t="s">
        <v>216</v>
      </c>
      <c r="D7" s="26" t="s">
        <v>199</v>
      </c>
      <c r="E7" s="26" t="s">
        <v>272</v>
      </c>
      <c r="G7" s="26" t="s">
        <v>270</v>
      </c>
    </row>
    <row r="8" spans="1:7" ht="13.5">
      <c r="A8" s="27" t="s">
        <v>219</v>
      </c>
      <c r="B8" s="26" t="s">
        <v>220</v>
      </c>
      <c r="C8" s="27" t="s">
        <v>241</v>
      </c>
      <c r="D8" s="27">
        <v>50</v>
      </c>
      <c r="E8" s="72">
        <f>(D8-$G$8)*10/$G$10+50</f>
        <v>46.558763991941575</v>
      </c>
      <c r="G8" s="28">
        <f>AVERAGE(D8:D22)</f>
        <v>56</v>
      </c>
    </row>
    <row r="9" spans="1:7" ht="13.5">
      <c r="A9" s="27" t="s">
        <v>223</v>
      </c>
      <c r="B9" s="26" t="s">
        <v>224</v>
      </c>
      <c r="C9" s="27" t="s">
        <v>225</v>
      </c>
      <c r="D9" s="27">
        <v>40</v>
      </c>
      <c r="E9" s="72">
        <f aca="true" t="shared" si="0" ref="E9:E22">(D9-$G$8)*10/$G$10+50</f>
        <v>40.82337064517753</v>
      </c>
      <c r="G9" s="26" t="s">
        <v>271</v>
      </c>
    </row>
    <row r="10" spans="1:7" ht="13.5">
      <c r="A10" s="27" t="s">
        <v>227</v>
      </c>
      <c r="B10" s="26" t="s">
        <v>224</v>
      </c>
      <c r="C10" s="27" t="s">
        <v>228</v>
      </c>
      <c r="D10" s="27">
        <v>45</v>
      </c>
      <c r="E10" s="72">
        <f t="shared" si="0"/>
        <v>43.691067318559554</v>
      </c>
      <c r="G10" s="71">
        <f>STDEVP(D8:D22)</f>
        <v>17.435595774162696</v>
      </c>
    </row>
    <row r="11" spans="1:5" ht="13.5">
      <c r="A11" s="27" t="s">
        <v>229</v>
      </c>
      <c r="B11" s="26" t="s">
        <v>224</v>
      </c>
      <c r="C11" s="27" t="s">
        <v>241</v>
      </c>
      <c r="D11" s="27">
        <v>65</v>
      </c>
      <c r="E11" s="72">
        <f t="shared" si="0"/>
        <v>55.16185401208764</v>
      </c>
    </row>
    <row r="12" spans="1:5" ht="13.5">
      <c r="A12" s="27" t="s">
        <v>230</v>
      </c>
      <c r="B12" s="26" t="s">
        <v>224</v>
      </c>
      <c r="C12" s="27" t="s">
        <v>241</v>
      </c>
      <c r="D12" s="27">
        <v>40</v>
      </c>
      <c r="E12" s="72">
        <f t="shared" si="0"/>
        <v>40.82337064517753</v>
      </c>
    </row>
    <row r="13" spans="1:5" ht="13.5">
      <c r="A13" s="27" t="s">
        <v>232</v>
      </c>
      <c r="B13" s="26" t="s">
        <v>220</v>
      </c>
      <c r="C13" s="27" t="s">
        <v>225</v>
      </c>
      <c r="D13" s="27">
        <v>65</v>
      </c>
      <c r="E13" s="72">
        <f t="shared" si="0"/>
        <v>55.16185401208764</v>
      </c>
    </row>
    <row r="14" spans="1:5" ht="13.5">
      <c r="A14" s="27" t="s">
        <v>233</v>
      </c>
      <c r="B14" s="26" t="s">
        <v>224</v>
      </c>
      <c r="C14" s="27" t="s">
        <v>228</v>
      </c>
      <c r="D14" s="27">
        <v>60</v>
      </c>
      <c r="E14" s="72">
        <f t="shared" si="0"/>
        <v>52.29415733870562</v>
      </c>
    </row>
    <row r="15" spans="1:5" ht="13.5">
      <c r="A15" s="27" t="s">
        <v>234</v>
      </c>
      <c r="B15" s="26" t="s">
        <v>220</v>
      </c>
      <c r="C15" s="27" t="s">
        <v>241</v>
      </c>
      <c r="D15" s="27">
        <v>90</v>
      </c>
      <c r="E15" s="72">
        <f t="shared" si="0"/>
        <v>69.50033737899776</v>
      </c>
    </row>
    <row r="16" spans="1:5" ht="13.5">
      <c r="A16" s="27" t="s">
        <v>235</v>
      </c>
      <c r="B16" s="26" t="s">
        <v>224</v>
      </c>
      <c r="C16" s="27" t="s">
        <v>225</v>
      </c>
      <c r="D16" s="27">
        <v>50</v>
      </c>
      <c r="E16" s="72">
        <f t="shared" si="0"/>
        <v>46.558763991941575</v>
      </c>
    </row>
    <row r="17" spans="1:5" ht="13.5">
      <c r="A17" s="27" t="s">
        <v>236</v>
      </c>
      <c r="B17" s="26" t="s">
        <v>220</v>
      </c>
      <c r="C17" s="27" t="s">
        <v>241</v>
      </c>
      <c r="D17" s="27">
        <v>30</v>
      </c>
      <c r="E17" s="72">
        <f t="shared" si="0"/>
        <v>35.087977298413485</v>
      </c>
    </row>
    <row r="18" spans="1:5" ht="13.5">
      <c r="A18" s="27" t="s">
        <v>243</v>
      </c>
      <c r="B18" s="26" t="s">
        <v>224</v>
      </c>
      <c r="C18" s="27" t="s">
        <v>228</v>
      </c>
      <c r="D18" s="27">
        <v>75</v>
      </c>
      <c r="E18" s="72">
        <f t="shared" si="0"/>
        <v>60.897247358851686</v>
      </c>
    </row>
    <row r="19" spans="1:5" ht="13.5">
      <c r="A19" s="27" t="s">
        <v>244</v>
      </c>
      <c r="B19" s="26" t="s">
        <v>224</v>
      </c>
      <c r="C19" s="27" t="s">
        <v>241</v>
      </c>
      <c r="D19" s="27">
        <v>65</v>
      </c>
      <c r="E19" s="72">
        <f t="shared" si="0"/>
        <v>55.16185401208764</v>
      </c>
    </row>
    <row r="20" spans="1:5" ht="13.5">
      <c r="A20" s="27" t="s">
        <v>245</v>
      </c>
      <c r="B20" s="26" t="s">
        <v>220</v>
      </c>
      <c r="C20" s="27" t="s">
        <v>225</v>
      </c>
      <c r="D20" s="27">
        <v>85</v>
      </c>
      <c r="E20" s="72">
        <f t="shared" si="0"/>
        <v>66.63264070561573</v>
      </c>
    </row>
    <row r="21" spans="1:5" ht="13.5">
      <c r="A21" s="27" t="s">
        <v>246</v>
      </c>
      <c r="B21" s="26" t="s">
        <v>224</v>
      </c>
      <c r="C21" s="27" t="s">
        <v>241</v>
      </c>
      <c r="D21" s="27">
        <v>35</v>
      </c>
      <c r="E21" s="72">
        <f t="shared" si="0"/>
        <v>37.955673971795505</v>
      </c>
    </row>
    <row r="22" spans="1:5" ht="13.5">
      <c r="A22" s="27" t="s">
        <v>247</v>
      </c>
      <c r="B22" s="26" t="s">
        <v>220</v>
      </c>
      <c r="C22" s="27" t="s">
        <v>241</v>
      </c>
      <c r="D22" s="27">
        <v>45</v>
      </c>
      <c r="E22" s="72">
        <f t="shared" si="0"/>
        <v>43.691067318559554</v>
      </c>
    </row>
  </sheetData>
  <printOptions/>
  <pageMargins left="0.75" right="0.75" top="1" bottom="1" header="0.512" footer="0.512"/>
  <pageSetup orientation="portrait" paperSize="9" r:id="rId1"/>
</worksheet>
</file>

<file path=xl/worksheets/sheet19.xml><?xml version="1.0" encoding="utf-8"?>
<worksheet xmlns="http://schemas.openxmlformats.org/spreadsheetml/2006/main" xmlns:r="http://schemas.openxmlformats.org/officeDocument/2006/relationships">
  <dimension ref="A1:J24"/>
  <sheetViews>
    <sheetView workbookViewId="0" topLeftCell="A1">
      <selection activeCell="E6" sqref="E6"/>
    </sheetView>
  </sheetViews>
  <sheetFormatPr defaultColWidth="9.00390625" defaultRowHeight="13.5"/>
  <cols>
    <col min="6" max="6" width="4.50390625" style="0" customWidth="1"/>
    <col min="7" max="7" width="4.375" style="0" customWidth="1"/>
    <col min="9" max="9" width="3.375" style="0" customWidth="1"/>
  </cols>
  <sheetData>
    <row r="1" ht="14.25">
      <c r="A1" s="61" t="s">
        <v>288</v>
      </c>
    </row>
    <row r="2" ht="14.25">
      <c r="A2" s="61"/>
    </row>
    <row r="3" spans="1:6" ht="14.25">
      <c r="A3" s="61" t="s">
        <v>273</v>
      </c>
      <c r="F3" s="41" t="s">
        <v>286</v>
      </c>
    </row>
    <row r="4" spans="1:7" ht="14.25">
      <c r="A4" s="61"/>
      <c r="B4" t="s">
        <v>281</v>
      </c>
      <c r="F4" s="60" t="s">
        <v>283</v>
      </c>
      <c r="G4" s="60"/>
    </row>
    <row r="5" spans="1:7" ht="14.25">
      <c r="A5" s="61"/>
      <c r="B5" t="s">
        <v>282</v>
      </c>
      <c r="F5" s="60" t="s">
        <v>284</v>
      </c>
      <c r="G5" s="60"/>
    </row>
    <row r="6" spans="6:7" ht="13.5">
      <c r="F6" s="60" t="s">
        <v>285</v>
      </c>
      <c r="G6" s="60"/>
    </row>
    <row r="8" ht="13.5">
      <c r="A8" s="1" t="s">
        <v>239</v>
      </c>
    </row>
    <row r="9" spans="1:6" ht="13.5">
      <c r="A9" s="26" t="s">
        <v>198</v>
      </c>
      <c r="B9" s="26" t="s">
        <v>215</v>
      </c>
      <c r="C9" s="26" t="s">
        <v>216</v>
      </c>
      <c r="D9" s="26" t="s">
        <v>199</v>
      </c>
      <c r="F9" s="1" t="s">
        <v>274</v>
      </c>
    </row>
    <row r="10" spans="1:8" ht="13.5">
      <c r="A10" s="27" t="s">
        <v>219</v>
      </c>
      <c r="B10" s="26" t="s">
        <v>220</v>
      </c>
      <c r="C10" s="27" t="s">
        <v>241</v>
      </c>
      <c r="D10" s="27">
        <v>50</v>
      </c>
      <c r="F10" s="96" t="s">
        <v>275</v>
      </c>
      <c r="G10" s="96"/>
      <c r="H10" s="26" t="s">
        <v>218</v>
      </c>
    </row>
    <row r="11" spans="1:8" ht="13.5">
      <c r="A11" s="27" t="s">
        <v>223</v>
      </c>
      <c r="B11" s="26" t="s">
        <v>224</v>
      </c>
      <c r="C11" s="27" t="s">
        <v>225</v>
      </c>
      <c r="D11" s="27">
        <v>40</v>
      </c>
      <c r="F11" s="73" t="s">
        <v>276</v>
      </c>
      <c r="G11" s="3">
        <v>20</v>
      </c>
      <c r="H11" s="28">
        <f>FREQUENCY($D$10:$D$24,G11)</f>
        <v>0</v>
      </c>
    </row>
    <row r="12" spans="1:10" ht="13.5">
      <c r="A12" s="27" t="s">
        <v>227</v>
      </c>
      <c r="B12" s="26" t="s">
        <v>224</v>
      </c>
      <c r="C12" s="27" t="s">
        <v>228</v>
      </c>
      <c r="D12" s="27">
        <v>45</v>
      </c>
      <c r="F12" s="74" t="s">
        <v>277</v>
      </c>
      <c r="G12" s="3">
        <v>40</v>
      </c>
      <c r="H12" s="28">
        <f>FREQUENCY($D$10:$D$24,G12)-FREQUENCY($D$10:$D$24,G11)</f>
        <v>4</v>
      </c>
      <c r="J12" s="70" t="s">
        <v>287</v>
      </c>
    </row>
    <row r="13" spans="1:8" ht="13.5">
      <c r="A13" s="27" t="s">
        <v>229</v>
      </c>
      <c r="B13" s="26" t="s">
        <v>224</v>
      </c>
      <c r="C13" s="27" t="s">
        <v>241</v>
      </c>
      <c r="D13" s="27">
        <v>65</v>
      </c>
      <c r="F13" s="74" t="s">
        <v>278</v>
      </c>
      <c r="G13" s="3">
        <v>60</v>
      </c>
      <c r="H13" s="28">
        <f>FREQUENCY($D$10:$D$24,G13)-FREQUENCY($D$10:$D$24,G12)</f>
        <v>5</v>
      </c>
    </row>
    <row r="14" spans="1:8" ht="13.5">
      <c r="A14" s="27" t="s">
        <v>230</v>
      </c>
      <c r="B14" s="26" t="s">
        <v>224</v>
      </c>
      <c r="C14" s="27" t="s">
        <v>241</v>
      </c>
      <c r="D14" s="27">
        <v>40</v>
      </c>
      <c r="F14" s="74" t="s">
        <v>279</v>
      </c>
      <c r="G14" s="3">
        <v>80</v>
      </c>
      <c r="H14" s="28">
        <f>FREQUENCY($D$10:$D$24,G14)-FREQUENCY($D$10:$D$24,G13)</f>
        <v>4</v>
      </c>
    </row>
    <row r="15" spans="1:8" ht="13.5">
      <c r="A15" s="27" t="s">
        <v>232</v>
      </c>
      <c r="B15" s="26" t="s">
        <v>220</v>
      </c>
      <c r="C15" s="27" t="s">
        <v>225</v>
      </c>
      <c r="D15" s="27">
        <v>65</v>
      </c>
      <c r="F15" s="74" t="s">
        <v>280</v>
      </c>
      <c r="G15" s="3">
        <v>100</v>
      </c>
      <c r="H15" s="28">
        <f>FREQUENCY($D$10:$D$24,G15)-FREQUENCY($D$10:$D$24,G14)</f>
        <v>2</v>
      </c>
    </row>
    <row r="16" spans="1:4" ht="13.5">
      <c r="A16" s="27" t="s">
        <v>233</v>
      </c>
      <c r="B16" s="26" t="s">
        <v>224</v>
      </c>
      <c r="C16" s="27" t="s">
        <v>228</v>
      </c>
      <c r="D16" s="27">
        <v>60</v>
      </c>
    </row>
    <row r="17" spans="1:4" ht="13.5">
      <c r="A17" s="27" t="s">
        <v>234</v>
      </c>
      <c r="B17" s="26" t="s">
        <v>220</v>
      </c>
      <c r="C17" s="27" t="s">
        <v>241</v>
      </c>
      <c r="D17" s="27">
        <v>90</v>
      </c>
    </row>
    <row r="18" spans="1:4" ht="13.5">
      <c r="A18" s="27" t="s">
        <v>235</v>
      </c>
      <c r="B18" s="26" t="s">
        <v>224</v>
      </c>
      <c r="C18" s="27" t="s">
        <v>225</v>
      </c>
      <c r="D18" s="27">
        <v>50</v>
      </c>
    </row>
    <row r="19" spans="1:4" ht="13.5">
      <c r="A19" s="27" t="s">
        <v>236</v>
      </c>
      <c r="B19" s="26" t="s">
        <v>220</v>
      </c>
      <c r="C19" s="27" t="s">
        <v>241</v>
      </c>
      <c r="D19" s="27">
        <v>30</v>
      </c>
    </row>
    <row r="20" spans="1:4" ht="13.5">
      <c r="A20" s="27" t="s">
        <v>243</v>
      </c>
      <c r="B20" s="26" t="s">
        <v>224</v>
      </c>
      <c r="C20" s="27" t="s">
        <v>228</v>
      </c>
      <c r="D20" s="27">
        <v>75</v>
      </c>
    </row>
    <row r="21" spans="1:4" ht="13.5">
      <c r="A21" s="27" t="s">
        <v>244</v>
      </c>
      <c r="B21" s="26" t="s">
        <v>224</v>
      </c>
      <c r="C21" s="27" t="s">
        <v>241</v>
      </c>
      <c r="D21" s="27">
        <v>65</v>
      </c>
    </row>
    <row r="22" spans="1:4" ht="13.5">
      <c r="A22" s="27" t="s">
        <v>245</v>
      </c>
      <c r="B22" s="26" t="s">
        <v>220</v>
      </c>
      <c r="C22" s="27" t="s">
        <v>225</v>
      </c>
      <c r="D22" s="27">
        <v>85</v>
      </c>
    </row>
    <row r="23" spans="1:4" ht="13.5">
      <c r="A23" s="27" t="s">
        <v>246</v>
      </c>
      <c r="B23" s="26" t="s">
        <v>224</v>
      </c>
      <c r="C23" s="27" t="s">
        <v>241</v>
      </c>
      <c r="D23" s="27">
        <v>35</v>
      </c>
    </row>
    <row r="24" spans="1:4" ht="13.5">
      <c r="A24" s="27" t="s">
        <v>247</v>
      </c>
      <c r="B24" s="26" t="s">
        <v>220</v>
      </c>
      <c r="C24" s="27" t="s">
        <v>241</v>
      </c>
      <c r="D24" s="27">
        <v>45</v>
      </c>
    </row>
  </sheetData>
  <mergeCells count="1">
    <mergeCell ref="F10:G10"/>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L25"/>
  <sheetViews>
    <sheetView workbookViewId="0" topLeftCell="A1">
      <selection activeCell="I25" sqref="I25"/>
    </sheetView>
  </sheetViews>
  <sheetFormatPr defaultColWidth="9.00390625" defaultRowHeight="13.5"/>
  <cols>
    <col min="6" max="6" width="9.25390625" style="0" bestFit="1" customWidth="1"/>
    <col min="9" max="9" width="9.25390625" style="0" bestFit="1" customWidth="1"/>
    <col min="11" max="11" width="2.875" style="0" customWidth="1"/>
  </cols>
  <sheetData>
    <row r="1" ht="13.5">
      <c r="B1" s="12" t="s">
        <v>23</v>
      </c>
    </row>
    <row r="3" spans="1:10" ht="13.5">
      <c r="A3" s="1" t="s">
        <v>0</v>
      </c>
      <c r="F3" s="1" t="s">
        <v>22</v>
      </c>
      <c r="G3" t="s">
        <v>43</v>
      </c>
      <c r="I3" s="1" t="s">
        <v>22</v>
      </c>
      <c r="J3" t="s">
        <v>44</v>
      </c>
    </row>
    <row r="4" spans="1:10" ht="13.5">
      <c r="A4" s="13" t="s">
        <v>2</v>
      </c>
      <c r="B4" s="13" t="s">
        <v>3</v>
      </c>
      <c r="C4" s="13" t="s">
        <v>4</v>
      </c>
      <c r="D4" s="13" t="s">
        <v>5</v>
      </c>
      <c r="F4" s="13" t="s">
        <v>3</v>
      </c>
      <c r="G4" s="13" t="s">
        <v>4</v>
      </c>
      <c r="I4" s="13" t="s">
        <v>3</v>
      </c>
      <c r="J4" s="13" t="s">
        <v>4</v>
      </c>
    </row>
    <row r="5" spans="1:10" ht="13.5">
      <c r="A5" s="5">
        <v>40128</v>
      </c>
      <c r="B5" s="3" t="s">
        <v>6</v>
      </c>
      <c r="C5" s="3" t="s">
        <v>7</v>
      </c>
      <c r="D5" s="4">
        <v>1200</v>
      </c>
      <c r="F5" s="3" t="s">
        <v>10</v>
      </c>
      <c r="G5" s="3" t="s">
        <v>11</v>
      </c>
      <c r="I5" s="3" t="s">
        <v>10</v>
      </c>
      <c r="J5" s="3"/>
    </row>
    <row r="6" spans="1:10" ht="13.5">
      <c r="A6" s="5">
        <v>40130</v>
      </c>
      <c r="B6" s="3" t="s">
        <v>8</v>
      </c>
      <c r="C6" s="3" t="s">
        <v>9</v>
      </c>
      <c r="D6" s="4">
        <v>3500</v>
      </c>
      <c r="J6" s="3" t="s">
        <v>11</v>
      </c>
    </row>
    <row r="7" spans="1:6" ht="13.5">
      <c r="A7" s="5">
        <v>40132</v>
      </c>
      <c r="B7" s="3" t="s">
        <v>10</v>
      </c>
      <c r="C7" s="3" t="s">
        <v>7</v>
      </c>
      <c r="D7" s="4">
        <v>2000</v>
      </c>
      <c r="F7" s="15" t="s">
        <v>29</v>
      </c>
    </row>
    <row r="8" spans="1:6" ht="13.5">
      <c r="A8" s="5">
        <v>40135</v>
      </c>
      <c r="B8" s="3" t="s">
        <v>10</v>
      </c>
      <c r="C8" s="3" t="s">
        <v>11</v>
      </c>
      <c r="D8" s="4">
        <v>1850</v>
      </c>
      <c r="F8" s="15" t="s">
        <v>30</v>
      </c>
    </row>
    <row r="9" spans="1:9" ht="13.5">
      <c r="A9" s="5">
        <v>40139</v>
      </c>
      <c r="B9" s="3" t="s">
        <v>10</v>
      </c>
      <c r="C9" s="3" t="s">
        <v>9</v>
      </c>
      <c r="D9" s="4">
        <v>580</v>
      </c>
      <c r="F9" t="s">
        <v>46</v>
      </c>
      <c r="I9" t="s">
        <v>48</v>
      </c>
    </row>
    <row r="10" spans="1:12" ht="13.5">
      <c r="A10" s="5">
        <v>40141</v>
      </c>
      <c r="B10" s="3" t="s">
        <v>10</v>
      </c>
      <c r="C10" s="3" t="s">
        <v>11</v>
      </c>
      <c r="D10" s="4">
        <v>640</v>
      </c>
      <c r="F10" t="s">
        <v>47</v>
      </c>
      <c r="I10" t="s">
        <v>49</v>
      </c>
      <c r="L10" s="11"/>
    </row>
    <row r="11" spans="1:9" ht="13.5">
      <c r="A11" s="5">
        <v>40143</v>
      </c>
      <c r="B11" s="3" t="s">
        <v>6</v>
      </c>
      <c r="C11" s="3" t="s">
        <v>7</v>
      </c>
      <c r="D11" s="4">
        <v>1600</v>
      </c>
      <c r="F11" s="15" t="s">
        <v>31</v>
      </c>
      <c r="I11" s="15" t="s">
        <v>32</v>
      </c>
    </row>
    <row r="12" spans="1:12" ht="13.5">
      <c r="A12" s="5">
        <v>40145</v>
      </c>
      <c r="B12" s="3" t="s">
        <v>10</v>
      </c>
      <c r="C12" s="3" t="s">
        <v>11</v>
      </c>
      <c r="D12" s="4">
        <v>980</v>
      </c>
      <c r="F12" s="13" t="s">
        <v>5</v>
      </c>
      <c r="G12" s="14">
        <f>DSUM(A4:D19,4,F4:G5)</f>
        <v>9670</v>
      </c>
      <c r="I12" s="13" t="s">
        <v>5</v>
      </c>
      <c r="J12" s="16">
        <f>DSUM(A4:D19,D4,I4:J6)</f>
        <v>20950</v>
      </c>
      <c r="L12" s="17">
        <f>D7+D8+D9+D10+D12+D13+D15+D17+D18</f>
        <v>20950</v>
      </c>
    </row>
    <row r="13" spans="1:4" ht="13.5">
      <c r="A13" s="5">
        <v>40148</v>
      </c>
      <c r="B13" s="3" t="s">
        <v>12</v>
      </c>
      <c r="C13" s="3" t="s">
        <v>11</v>
      </c>
      <c r="D13" s="4">
        <v>2500</v>
      </c>
    </row>
    <row r="14" spans="1:9" ht="13.5">
      <c r="A14" s="5">
        <v>40151</v>
      </c>
      <c r="B14" s="3" t="s">
        <v>6</v>
      </c>
      <c r="C14" s="3" t="s">
        <v>9</v>
      </c>
      <c r="D14" s="4">
        <v>2100</v>
      </c>
      <c r="I14" t="s">
        <v>24</v>
      </c>
    </row>
    <row r="15" spans="1:4" ht="13.5">
      <c r="A15" s="5">
        <v>40152</v>
      </c>
      <c r="B15" s="3" t="s">
        <v>10</v>
      </c>
      <c r="C15" s="3" t="s">
        <v>7</v>
      </c>
      <c r="D15" s="4">
        <v>4600</v>
      </c>
    </row>
    <row r="16" spans="1:4" ht="13.5">
      <c r="A16" s="5">
        <v>40154</v>
      </c>
      <c r="B16" s="3" t="s">
        <v>6</v>
      </c>
      <c r="C16" s="3" t="s">
        <v>7</v>
      </c>
      <c r="D16" s="4">
        <v>720</v>
      </c>
    </row>
    <row r="17" spans="1:12" ht="13.5">
      <c r="A17" s="5">
        <v>40155</v>
      </c>
      <c r="B17" s="3" t="s">
        <v>10</v>
      </c>
      <c r="C17" s="3" t="s">
        <v>9</v>
      </c>
      <c r="D17" s="4">
        <v>1600</v>
      </c>
      <c r="F17" t="s">
        <v>25</v>
      </c>
      <c r="H17" t="s">
        <v>26</v>
      </c>
      <c r="L17" t="s">
        <v>27</v>
      </c>
    </row>
    <row r="18" spans="1:12" ht="13.5">
      <c r="A18" s="5">
        <v>40156</v>
      </c>
      <c r="B18" s="3" t="s">
        <v>10</v>
      </c>
      <c r="C18" s="3" t="s">
        <v>11</v>
      </c>
      <c r="D18" s="4">
        <v>6200</v>
      </c>
      <c r="L18" t="s">
        <v>28</v>
      </c>
    </row>
    <row r="19" spans="1:4" ht="13.5">
      <c r="A19" s="5">
        <v>40157</v>
      </c>
      <c r="B19" s="3" t="s">
        <v>12</v>
      </c>
      <c r="C19" s="3" t="s">
        <v>9</v>
      </c>
      <c r="D19" s="4">
        <v>4500</v>
      </c>
    </row>
    <row r="21" spans="2:9" ht="13.5">
      <c r="B21" s="12" t="s">
        <v>33</v>
      </c>
      <c r="F21" s="1" t="s">
        <v>34</v>
      </c>
      <c r="I21" s="1" t="s">
        <v>38</v>
      </c>
    </row>
    <row r="22" spans="5:10" ht="13.5">
      <c r="E22" s="11"/>
      <c r="F22" s="18" t="s">
        <v>35</v>
      </c>
      <c r="G22" s="18" t="s">
        <v>36</v>
      </c>
      <c r="I22" s="18" t="s">
        <v>39</v>
      </c>
      <c r="J22" s="18" t="s">
        <v>39</v>
      </c>
    </row>
    <row r="23" spans="6:10" ht="13.5">
      <c r="F23" s="5">
        <v>40137</v>
      </c>
      <c r="G23" s="5">
        <v>40152</v>
      </c>
      <c r="I23" s="19" t="s">
        <v>40</v>
      </c>
      <c r="J23" s="19" t="s">
        <v>41</v>
      </c>
    </row>
    <row r="24" ht="13.5">
      <c r="I24" s="15" t="s">
        <v>42</v>
      </c>
    </row>
    <row r="25" spans="6:12" ht="13.5">
      <c r="F25" s="18" t="s">
        <v>37</v>
      </c>
      <c r="G25" s="16">
        <f>DSUM(A4:D19,4,I22:J23)</f>
        <v>13000</v>
      </c>
      <c r="I25" s="20" t="str">
        <f>"&gt;="&amp;F23</f>
        <v>&gt;=40137</v>
      </c>
      <c r="J25" s="20" t="str">
        <f>"&lt;="&amp;G23</f>
        <v>&lt;=40152</v>
      </c>
      <c r="L25" t="s">
        <v>45</v>
      </c>
    </row>
  </sheetData>
  <printOptions/>
  <pageMargins left="0.75" right="0.75" top="1" bottom="1" header="0.512" footer="0.512"/>
  <pageSetup orientation="portrait" paperSize="9" r:id="rId2"/>
  <drawing r:id="rId1"/>
</worksheet>
</file>

<file path=xl/worksheets/sheet20.xml><?xml version="1.0" encoding="utf-8"?>
<worksheet xmlns="http://schemas.openxmlformats.org/spreadsheetml/2006/main" xmlns:r="http://schemas.openxmlformats.org/officeDocument/2006/relationships">
  <dimension ref="A1:D18"/>
  <sheetViews>
    <sheetView workbookViewId="0" topLeftCell="A1">
      <selection activeCell="H23" sqref="H23"/>
    </sheetView>
  </sheetViews>
  <sheetFormatPr defaultColWidth="9.00390625" defaultRowHeight="13.5"/>
  <sheetData>
    <row r="1" ht="14.25">
      <c r="A1" s="61" t="s">
        <v>289</v>
      </c>
    </row>
    <row r="3" spans="1:4" ht="14.25">
      <c r="A3" s="61" t="s">
        <v>290</v>
      </c>
      <c r="D3" s="61" t="s">
        <v>432</v>
      </c>
    </row>
    <row r="5" ht="13.5">
      <c r="A5" s="1" t="s">
        <v>291</v>
      </c>
    </row>
    <row r="6" spans="1:4" ht="13.5">
      <c r="A6" s="38" t="s">
        <v>292</v>
      </c>
      <c r="B6" s="38" t="s">
        <v>293</v>
      </c>
      <c r="C6" s="38" t="s">
        <v>199</v>
      </c>
      <c r="D6" s="38" t="s">
        <v>294</v>
      </c>
    </row>
    <row r="7" spans="1:4" ht="13.5">
      <c r="A7" s="3" t="s">
        <v>295</v>
      </c>
      <c r="B7" s="3">
        <v>2</v>
      </c>
      <c r="C7" s="3">
        <v>150</v>
      </c>
      <c r="D7" s="28">
        <f>RANK(C7,$C$7:$C$18)</f>
        <v>3</v>
      </c>
    </row>
    <row r="8" spans="1:4" ht="13.5">
      <c r="A8" s="3" t="s">
        <v>296</v>
      </c>
      <c r="B8" s="3">
        <v>6</v>
      </c>
      <c r="C8" s="3">
        <v>90</v>
      </c>
      <c r="D8" s="28">
        <f aca="true" t="shared" si="0" ref="D8:D18">RANK(C8,$C$7:$C$18)</f>
        <v>8</v>
      </c>
    </row>
    <row r="9" spans="1:4" ht="13.5">
      <c r="A9" s="3" t="s">
        <v>297</v>
      </c>
      <c r="B9" s="3">
        <v>9</v>
      </c>
      <c r="C9" s="3">
        <v>80</v>
      </c>
      <c r="D9" s="28">
        <f t="shared" si="0"/>
        <v>9</v>
      </c>
    </row>
    <row r="10" spans="1:4" ht="13.5">
      <c r="A10" s="3" t="s">
        <v>298</v>
      </c>
      <c r="B10" s="3">
        <v>8</v>
      </c>
      <c r="C10" s="3">
        <v>120</v>
      </c>
      <c r="D10" s="28">
        <f t="shared" si="0"/>
        <v>6</v>
      </c>
    </row>
    <row r="11" spans="1:4" ht="13.5">
      <c r="A11" s="3" t="s">
        <v>299</v>
      </c>
      <c r="B11" s="3">
        <v>1</v>
      </c>
      <c r="C11" s="3">
        <v>170</v>
      </c>
      <c r="D11" s="28">
        <f t="shared" si="0"/>
        <v>2</v>
      </c>
    </row>
    <row r="12" spans="1:4" ht="13.5">
      <c r="A12" s="3" t="s">
        <v>300</v>
      </c>
      <c r="B12" s="3">
        <v>10</v>
      </c>
      <c r="C12" s="3">
        <v>80</v>
      </c>
      <c r="D12" s="28">
        <f t="shared" si="0"/>
        <v>9</v>
      </c>
    </row>
    <row r="13" spans="1:4" ht="13.5">
      <c r="A13" s="3" t="s">
        <v>301</v>
      </c>
      <c r="B13" s="3">
        <v>12</v>
      </c>
      <c r="C13" s="3">
        <v>100</v>
      </c>
      <c r="D13" s="28">
        <f t="shared" si="0"/>
        <v>7</v>
      </c>
    </row>
    <row r="14" spans="1:4" ht="13.5">
      <c r="A14" s="3" t="s">
        <v>302</v>
      </c>
      <c r="B14" s="3">
        <v>4</v>
      </c>
      <c r="C14" s="3">
        <v>140</v>
      </c>
      <c r="D14" s="28">
        <f t="shared" si="0"/>
        <v>4</v>
      </c>
    </row>
    <row r="15" spans="1:4" ht="13.5">
      <c r="A15" s="3" t="s">
        <v>303</v>
      </c>
      <c r="B15" s="3">
        <v>11</v>
      </c>
      <c r="C15" s="3">
        <v>50</v>
      </c>
      <c r="D15" s="28">
        <f t="shared" si="0"/>
        <v>12</v>
      </c>
    </row>
    <row r="16" spans="1:4" ht="13.5">
      <c r="A16" s="3" t="s">
        <v>304</v>
      </c>
      <c r="B16" s="3">
        <v>5</v>
      </c>
      <c r="C16" s="3">
        <v>180</v>
      </c>
      <c r="D16" s="28">
        <f t="shared" si="0"/>
        <v>1</v>
      </c>
    </row>
    <row r="17" spans="1:4" ht="13.5">
      <c r="A17" s="3" t="s">
        <v>305</v>
      </c>
      <c r="B17" s="3">
        <v>3</v>
      </c>
      <c r="C17" s="3">
        <v>130</v>
      </c>
      <c r="D17" s="28">
        <f t="shared" si="0"/>
        <v>5</v>
      </c>
    </row>
    <row r="18" spans="1:4" ht="13.5">
      <c r="A18" s="3" t="s">
        <v>306</v>
      </c>
      <c r="B18" s="3">
        <v>7</v>
      </c>
      <c r="C18" s="3">
        <v>60</v>
      </c>
      <c r="D18" s="28">
        <f t="shared" si="0"/>
        <v>11</v>
      </c>
    </row>
  </sheetData>
  <printOptions/>
  <pageMargins left="0.75" right="0.75" top="1" bottom="1" header="0.512" footer="0.512"/>
  <pageSetup orientation="portrait" paperSize="9"/>
  <drawing r:id="rId1"/>
</worksheet>
</file>

<file path=xl/worksheets/sheet21.xml><?xml version="1.0" encoding="utf-8"?>
<worksheet xmlns="http://schemas.openxmlformats.org/spreadsheetml/2006/main" xmlns:r="http://schemas.openxmlformats.org/officeDocument/2006/relationships">
  <dimension ref="A1:K85"/>
  <sheetViews>
    <sheetView tabSelected="1" workbookViewId="0" topLeftCell="A61">
      <selection activeCell="L89" sqref="L89"/>
    </sheetView>
  </sheetViews>
  <sheetFormatPr defaultColWidth="9.00390625" defaultRowHeight="13.5"/>
  <cols>
    <col min="1" max="2" width="10.375" style="0" customWidth="1"/>
    <col min="3" max="3" width="6.00390625" style="0" customWidth="1"/>
    <col min="4" max="4" width="4.875" style="0" customWidth="1"/>
    <col min="5" max="5" width="9.50390625" style="0" customWidth="1"/>
    <col min="6" max="6" width="2.125" style="0" customWidth="1"/>
    <col min="7" max="7" width="10.25390625" style="0" customWidth="1"/>
    <col min="8" max="8" width="9.875" style="0" customWidth="1"/>
    <col min="9" max="9" width="2.00390625" style="0" customWidth="1"/>
    <col min="10" max="10" width="5.00390625" style="0" customWidth="1"/>
  </cols>
  <sheetData>
    <row r="1" ht="14.25">
      <c r="A1" s="61" t="s">
        <v>310</v>
      </c>
    </row>
    <row r="2" ht="14.25">
      <c r="A2" s="61" t="s">
        <v>309</v>
      </c>
    </row>
    <row r="3" ht="13.5">
      <c r="A3" t="s">
        <v>433</v>
      </c>
    </row>
    <row r="4" ht="13.5">
      <c r="A4" s="60" t="s">
        <v>435</v>
      </c>
    </row>
    <row r="5" ht="13.5">
      <c r="A5" s="1" t="s">
        <v>291</v>
      </c>
    </row>
    <row r="6" spans="1:7" ht="13.5">
      <c r="A6" s="38" t="s">
        <v>292</v>
      </c>
      <c r="B6" s="38" t="s">
        <v>293</v>
      </c>
      <c r="C6" s="38" t="s">
        <v>199</v>
      </c>
      <c r="D6" s="38" t="s">
        <v>294</v>
      </c>
      <c r="E6" s="75" t="s">
        <v>307</v>
      </c>
      <c r="G6" s="76" t="s">
        <v>308</v>
      </c>
    </row>
    <row r="7" spans="1:8" ht="13.5">
      <c r="A7" s="3" t="s">
        <v>295</v>
      </c>
      <c r="B7" s="3">
        <v>2</v>
      </c>
      <c r="C7" s="3">
        <v>150</v>
      </c>
      <c r="D7" s="101">
        <f>RANK(C7,$C$7:$C$18)</f>
        <v>3</v>
      </c>
      <c r="E7" t="str">
        <f>A7</f>
        <v>大川　淳二</v>
      </c>
      <c r="G7" s="38" t="s">
        <v>294</v>
      </c>
      <c r="H7" s="38" t="s">
        <v>292</v>
      </c>
    </row>
    <row r="8" spans="1:8" ht="13.5">
      <c r="A8" s="3" t="s">
        <v>296</v>
      </c>
      <c r="B8" s="3">
        <v>6</v>
      </c>
      <c r="C8" s="3">
        <v>90</v>
      </c>
      <c r="D8" s="28">
        <f aca="true" t="shared" si="0" ref="D8:D18">RANK(C8,$C$7:$C$18)</f>
        <v>8</v>
      </c>
      <c r="E8" t="str">
        <f aca="true" t="shared" si="1" ref="E8:E18">A8</f>
        <v>金田　洋子</v>
      </c>
      <c r="G8" s="3">
        <v>1</v>
      </c>
      <c r="H8" s="101" t="str">
        <f>VLOOKUP(G8,$D$6:$E$18,2,FALSE)</f>
        <v>松浦　雄介</v>
      </c>
    </row>
    <row r="9" spans="1:8" ht="13.5">
      <c r="A9" s="3" t="s">
        <v>297</v>
      </c>
      <c r="B9" s="3">
        <v>9</v>
      </c>
      <c r="C9" s="3">
        <v>80</v>
      </c>
      <c r="D9" s="28">
        <f t="shared" si="0"/>
        <v>9</v>
      </c>
      <c r="E9" t="str">
        <f t="shared" si="1"/>
        <v>近藤　智代</v>
      </c>
      <c r="G9" s="3">
        <v>2</v>
      </c>
      <c r="H9" s="28" t="str">
        <f>VLOOKUP(G9,$D$6:$E$18,2,FALSE)</f>
        <v>杉田　佳代</v>
      </c>
    </row>
    <row r="10" spans="1:8" ht="13.5">
      <c r="A10" s="3" t="s">
        <v>298</v>
      </c>
      <c r="B10" s="3">
        <v>8</v>
      </c>
      <c r="C10" s="3">
        <v>120</v>
      </c>
      <c r="D10" s="28">
        <f t="shared" si="0"/>
        <v>6</v>
      </c>
      <c r="E10" t="str">
        <f t="shared" si="1"/>
        <v>桜井　忠</v>
      </c>
      <c r="G10" s="3">
        <v>3</v>
      </c>
      <c r="H10" s="28" t="str">
        <f>VLOOKUP(G10,$D$6:$E$18,2,FALSE)</f>
        <v>大川　淳二</v>
      </c>
    </row>
    <row r="11" spans="1:8" ht="13.5">
      <c r="A11" s="3" t="s">
        <v>299</v>
      </c>
      <c r="B11" s="3">
        <v>1</v>
      </c>
      <c r="C11" s="3">
        <v>170</v>
      </c>
      <c r="D11" s="28">
        <f t="shared" si="0"/>
        <v>2</v>
      </c>
      <c r="E11" t="str">
        <f t="shared" si="1"/>
        <v>杉田　佳代</v>
      </c>
      <c r="G11" s="3">
        <v>4</v>
      </c>
      <c r="H11" s="28" t="str">
        <f>VLOOKUP(G11,$D$6:$E$18,2,FALSE)</f>
        <v>本田　澄夫</v>
      </c>
    </row>
    <row r="12" spans="1:8" ht="13.5">
      <c r="A12" s="3" t="s">
        <v>300</v>
      </c>
      <c r="B12" s="3">
        <v>10</v>
      </c>
      <c r="C12" s="3">
        <v>80</v>
      </c>
      <c r="D12" s="28">
        <f t="shared" si="0"/>
        <v>9</v>
      </c>
      <c r="E12" t="str">
        <f t="shared" si="1"/>
        <v>鈴木　美雪</v>
      </c>
      <c r="G12" s="3">
        <v>5</v>
      </c>
      <c r="H12" s="28" t="str">
        <f>VLOOKUP(G12,$D$6:$E$18,2,FALSE)</f>
        <v>水沼　幸子</v>
      </c>
    </row>
    <row r="13" spans="1:8" ht="13.5">
      <c r="A13" s="3" t="s">
        <v>301</v>
      </c>
      <c r="B13" s="3">
        <v>12</v>
      </c>
      <c r="C13" s="3">
        <v>100</v>
      </c>
      <c r="D13" s="28">
        <f t="shared" si="0"/>
        <v>7</v>
      </c>
      <c r="E13" t="str">
        <f t="shared" si="1"/>
        <v>林　啓太</v>
      </c>
      <c r="G13" s="63" t="s">
        <v>454</v>
      </c>
      <c r="H13" s="102" t="s">
        <v>455</v>
      </c>
    </row>
    <row r="14" spans="1:5" ht="13.5">
      <c r="A14" s="3" t="s">
        <v>302</v>
      </c>
      <c r="B14" s="3">
        <v>4</v>
      </c>
      <c r="C14" s="3">
        <v>140</v>
      </c>
      <c r="D14" s="28">
        <f t="shared" si="0"/>
        <v>4</v>
      </c>
      <c r="E14" t="str">
        <f t="shared" si="1"/>
        <v>本田　澄夫</v>
      </c>
    </row>
    <row r="15" spans="1:5" ht="13.5">
      <c r="A15" s="3" t="s">
        <v>303</v>
      </c>
      <c r="B15" s="3">
        <v>11</v>
      </c>
      <c r="C15" s="3">
        <v>50</v>
      </c>
      <c r="D15" s="28">
        <f t="shared" si="0"/>
        <v>12</v>
      </c>
      <c r="E15" t="str">
        <f t="shared" si="1"/>
        <v>巻　浩二郎</v>
      </c>
    </row>
    <row r="16" spans="1:5" ht="13.5">
      <c r="A16" s="3" t="s">
        <v>304</v>
      </c>
      <c r="B16" s="3">
        <v>5</v>
      </c>
      <c r="C16" s="3">
        <v>180</v>
      </c>
      <c r="D16" s="28">
        <f t="shared" si="0"/>
        <v>1</v>
      </c>
      <c r="E16" t="str">
        <f t="shared" si="1"/>
        <v>松浦　雄介</v>
      </c>
    </row>
    <row r="17" spans="1:5" ht="13.5">
      <c r="A17" s="3" t="s">
        <v>305</v>
      </c>
      <c r="B17" s="3">
        <v>3</v>
      </c>
      <c r="C17" s="3">
        <v>130</v>
      </c>
      <c r="D17" s="28">
        <f t="shared" si="0"/>
        <v>5</v>
      </c>
      <c r="E17" t="str">
        <f t="shared" si="1"/>
        <v>水沼　幸子</v>
      </c>
    </row>
    <row r="18" spans="1:5" ht="13.5">
      <c r="A18" s="3" t="s">
        <v>306</v>
      </c>
      <c r="B18" s="3">
        <v>7</v>
      </c>
      <c r="C18" s="3">
        <v>60</v>
      </c>
      <c r="D18" s="28">
        <f t="shared" si="0"/>
        <v>11</v>
      </c>
      <c r="E18" t="str">
        <f t="shared" si="1"/>
        <v>悠木　博</v>
      </c>
    </row>
    <row r="19" spans="1:4" ht="13.5">
      <c r="A19" s="22"/>
      <c r="B19" s="22"/>
      <c r="C19" s="100" t="s">
        <v>454</v>
      </c>
      <c r="D19" s="102" t="s">
        <v>456</v>
      </c>
    </row>
    <row r="20" ht="13.5">
      <c r="A20" s="70" t="s">
        <v>436</v>
      </c>
    </row>
    <row r="21" ht="13.5">
      <c r="A21" s="70" t="s">
        <v>437</v>
      </c>
    </row>
    <row r="22" ht="13.5">
      <c r="A22" t="s">
        <v>438</v>
      </c>
    </row>
    <row r="23" ht="13.5">
      <c r="A23" t="s">
        <v>441</v>
      </c>
    </row>
    <row r="24" ht="13.5">
      <c r="A24" t="s">
        <v>439</v>
      </c>
    </row>
    <row r="25" ht="13.5">
      <c r="A25" t="s">
        <v>440</v>
      </c>
    </row>
    <row r="26" ht="13.5">
      <c r="A26" t="s">
        <v>444</v>
      </c>
    </row>
    <row r="27" ht="13.5">
      <c r="A27" t="s">
        <v>442</v>
      </c>
    </row>
    <row r="28" ht="13.5">
      <c r="A28" t="s">
        <v>443</v>
      </c>
    </row>
    <row r="29" ht="13.5">
      <c r="A29" t="s">
        <v>445</v>
      </c>
    </row>
    <row r="46" ht="13.5">
      <c r="A46" t="s">
        <v>446</v>
      </c>
    </row>
    <row r="47" ht="13.5">
      <c r="A47" t="s">
        <v>447</v>
      </c>
    </row>
    <row r="48" ht="13.5">
      <c r="A48" t="s">
        <v>448</v>
      </c>
    </row>
    <row r="49" ht="13.5">
      <c r="A49" t="s">
        <v>449</v>
      </c>
    </row>
    <row r="50" ht="13.5">
      <c r="A50" t="s">
        <v>450</v>
      </c>
    </row>
    <row r="68" ht="13.5">
      <c r="A68" s="70" t="s">
        <v>451</v>
      </c>
    </row>
    <row r="69" ht="13.5">
      <c r="A69" t="s">
        <v>452</v>
      </c>
    </row>
    <row r="70" ht="13.5">
      <c r="A70" t="s">
        <v>453</v>
      </c>
    </row>
    <row r="72" spans="1:8" ht="13.5">
      <c r="A72" s="38" t="s">
        <v>294</v>
      </c>
      <c r="B72" s="38" t="s">
        <v>292</v>
      </c>
      <c r="G72" s="38" t="s">
        <v>292</v>
      </c>
      <c r="H72" s="38" t="s">
        <v>294</v>
      </c>
    </row>
    <row r="73" spans="1:11" ht="13.5">
      <c r="A73" s="3">
        <f aca="true" t="shared" si="2" ref="A73:A84">RANK(C7,$C$7:$C$18)</f>
        <v>3</v>
      </c>
      <c r="B73" s="3" t="s">
        <v>295</v>
      </c>
      <c r="D73" s="3">
        <v>1</v>
      </c>
      <c r="E73" s="101" t="str">
        <f>VLOOKUP(D73,$A$72:$B$84,2,FALSE)</f>
        <v>松浦　雄介</v>
      </c>
      <c r="G73" s="3" t="s">
        <v>295</v>
      </c>
      <c r="H73" s="3">
        <f aca="true" t="shared" si="3" ref="H73:H84">RANK(C7,$C$7:$C$18)</f>
        <v>3</v>
      </c>
      <c r="J73" s="3">
        <v>1</v>
      </c>
      <c r="K73" s="28" t="e">
        <f>VLOOKUP(J73,$G$72:$H$84,1,FALSE)</f>
        <v>#N/A</v>
      </c>
    </row>
    <row r="74" spans="1:11" ht="13.5">
      <c r="A74" s="3">
        <f t="shared" si="2"/>
        <v>8</v>
      </c>
      <c r="B74" s="3" t="s">
        <v>296</v>
      </c>
      <c r="D74" s="3">
        <v>2</v>
      </c>
      <c r="E74" s="28" t="str">
        <f aca="true" t="shared" si="4" ref="E73:E78">VLOOKUP(D74,$A$72:$B$84,2,FALSE)</f>
        <v>杉田　佳代</v>
      </c>
      <c r="G74" s="3" t="s">
        <v>296</v>
      </c>
      <c r="H74" s="3">
        <f t="shared" si="3"/>
        <v>8</v>
      </c>
      <c r="J74" s="3">
        <v>2</v>
      </c>
      <c r="K74" s="28" t="e">
        <f>VLOOKUP(J74,$G$72:$H$84,1,FALSE)</f>
        <v>#N/A</v>
      </c>
    </row>
    <row r="75" spans="1:11" ht="13.5">
      <c r="A75" s="3">
        <f t="shared" si="2"/>
        <v>9</v>
      </c>
      <c r="B75" s="3" t="s">
        <v>297</v>
      </c>
      <c r="D75" s="3">
        <v>3</v>
      </c>
      <c r="E75" s="28" t="str">
        <f t="shared" si="4"/>
        <v>大川　淳二</v>
      </c>
      <c r="G75" s="3" t="s">
        <v>297</v>
      </c>
      <c r="H75" s="3">
        <f t="shared" si="3"/>
        <v>9</v>
      </c>
      <c r="J75" s="3">
        <v>3</v>
      </c>
      <c r="K75" s="28" t="e">
        <f>VLOOKUP(J75,$G$72:$H$84,1,FALSE)</f>
        <v>#N/A</v>
      </c>
    </row>
    <row r="76" spans="1:11" ht="13.5">
      <c r="A76" s="3">
        <f t="shared" si="2"/>
        <v>6</v>
      </c>
      <c r="B76" s="3" t="s">
        <v>298</v>
      </c>
      <c r="D76" s="3">
        <v>4</v>
      </c>
      <c r="E76" s="28" t="str">
        <f t="shared" si="4"/>
        <v>本田　澄夫</v>
      </c>
      <c r="G76" s="3" t="s">
        <v>298</v>
      </c>
      <c r="H76" s="3">
        <f t="shared" si="3"/>
        <v>6</v>
      </c>
      <c r="J76" s="3">
        <v>4</v>
      </c>
      <c r="K76" s="28" t="e">
        <f>VLOOKUP(J76,$G$72:$H$84,1,FALSE)</f>
        <v>#N/A</v>
      </c>
    </row>
    <row r="77" spans="1:11" ht="13.5">
      <c r="A77" s="3">
        <f t="shared" si="2"/>
        <v>2</v>
      </c>
      <c r="B77" s="3" t="s">
        <v>299</v>
      </c>
      <c r="D77" s="3">
        <v>5</v>
      </c>
      <c r="E77" s="28" t="str">
        <f t="shared" si="4"/>
        <v>水沼　幸子</v>
      </c>
      <c r="G77" s="3" t="s">
        <v>299</v>
      </c>
      <c r="H77" s="3">
        <f t="shared" si="3"/>
        <v>2</v>
      </c>
      <c r="J77" s="3">
        <v>5</v>
      </c>
      <c r="K77" s="28" t="e">
        <f>VLOOKUP(J77,$G$72:$H$84,1,FALSE)</f>
        <v>#N/A</v>
      </c>
    </row>
    <row r="78" spans="1:11" ht="13.5">
      <c r="A78" s="3">
        <f t="shared" si="2"/>
        <v>9</v>
      </c>
      <c r="B78" s="3" t="s">
        <v>300</v>
      </c>
      <c r="D78" s="3">
        <v>6</v>
      </c>
      <c r="E78" s="28" t="str">
        <f t="shared" si="4"/>
        <v>桜井　忠</v>
      </c>
      <c r="G78" s="3" t="s">
        <v>300</v>
      </c>
      <c r="H78" s="3">
        <f t="shared" si="3"/>
        <v>9</v>
      </c>
      <c r="J78" t="s">
        <v>454</v>
      </c>
      <c r="K78" t="s">
        <v>458</v>
      </c>
    </row>
    <row r="79" spans="1:9" ht="13.5">
      <c r="A79" s="3">
        <f t="shared" si="2"/>
        <v>7</v>
      </c>
      <c r="B79" s="3" t="s">
        <v>301</v>
      </c>
      <c r="G79" s="3" t="s">
        <v>301</v>
      </c>
      <c r="H79" s="3">
        <f t="shared" si="3"/>
        <v>7</v>
      </c>
      <c r="I79" s="30" t="s">
        <v>311</v>
      </c>
    </row>
    <row r="80" spans="1:9" ht="13.5">
      <c r="A80" s="3">
        <f t="shared" si="2"/>
        <v>4</v>
      </c>
      <c r="B80" s="3" t="s">
        <v>302</v>
      </c>
      <c r="G80" s="3" t="s">
        <v>302</v>
      </c>
      <c r="H80" s="3">
        <f t="shared" si="3"/>
        <v>4</v>
      </c>
      <c r="I80" t="s">
        <v>312</v>
      </c>
    </row>
    <row r="81" spans="1:8" ht="13.5">
      <c r="A81" s="3">
        <f t="shared" si="2"/>
        <v>12</v>
      </c>
      <c r="B81" s="3" t="s">
        <v>303</v>
      </c>
      <c r="G81" s="3" t="s">
        <v>303</v>
      </c>
      <c r="H81" s="3">
        <f t="shared" si="3"/>
        <v>12</v>
      </c>
    </row>
    <row r="82" spans="1:8" ht="13.5">
      <c r="A82" s="3">
        <f t="shared" si="2"/>
        <v>1</v>
      </c>
      <c r="B82" s="3" t="s">
        <v>304</v>
      </c>
      <c r="G82" s="3" t="s">
        <v>304</v>
      </c>
      <c r="H82" s="3">
        <f t="shared" si="3"/>
        <v>1</v>
      </c>
    </row>
    <row r="83" spans="1:8" ht="13.5">
      <c r="A83" s="3">
        <f t="shared" si="2"/>
        <v>5</v>
      </c>
      <c r="B83" s="3" t="s">
        <v>305</v>
      </c>
      <c r="G83" s="3" t="s">
        <v>305</v>
      </c>
      <c r="H83" s="3">
        <f t="shared" si="3"/>
        <v>5</v>
      </c>
    </row>
    <row r="84" spans="1:8" ht="13.5">
      <c r="A84" s="3">
        <f t="shared" si="2"/>
        <v>11</v>
      </c>
      <c r="B84" s="3" t="s">
        <v>306</v>
      </c>
      <c r="G84" s="3" t="s">
        <v>306</v>
      </c>
      <c r="H84" s="3">
        <f t="shared" si="3"/>
        <v>11</v>
      </c>
    </row>
    <row r="85" spans="4:5" ht="13.5">
      <c r="D85" t="s">
        <v>454</v>
      </c>
      <c r="E85" t="s">
        <v>457</v>
      </c>
    </row>
  </sheetData>
  <printOptions/>
  <pageMargins left="0.75" right="0.75" top="1" bottom="1" header="0.512" footer="0.512"/>
  <pageSetup orientation="portrait" paperSize="9" r:id="rId2"/>
  <drawing r:id="rId1"/>
</worksheet>
</file>

<file path=xl/worksheets/sheet22.xml><?xml version="1.0" encoding="utf-8"?>
<worksheet xmlns="http://schemas.openxmlformats.org/spreadsheetml/2006/main" xmlns:r="http://schemas.openxmlformats.org/officeDocument/2006/relationships">
  <dimension ref="A1:Q26"/>
  <sheetViews>
    <sheetView workbookViewId="0" topLeftCell="A1">
      <selection activeCell="C24" sqref="C24"/>
    </sheetView>
  </sheetViews>
  <sheetFormatPr defaultColWidth="9.00390625" defaultRowHeight="13.5"/>
  <cols>
    <col min="1" max="1" width="10.375" style="0" customWidth="1"/>
    <col min="2" max="2" width="6.50390625" style="0" customWidth="1"/>
    <col min="3" max="3" width="7.00390625" style="0" customWidth="1"/>
    <col min="4" max="4" width="7.125" style="0" customWidth="1"/>
    <col min="6" max="6" width="7.50390625" style="0" customWidth="1"/>
    <col min="7" max="7" width="10.25390625" style="0" customWidth="1"/>
    <col min="8" max="8" width="1.875" style="0" customWidth="1"/>
    <col min="9" max="9" width="4.50390625" style="0" customWidth="1"/>
    <col min="10" max="10" width="6.50390625" style="0" customWidth="1"/>
    <col min="11" max="11" width="10.375" style="0" customWidth="1"/>
    <col min="12" max="12" width="6.375" style="0" customWidth="1"/>
    <col min="13" max="13" width="2.25390625" style="0" customWidth="1"/>
    <col min="14" max="14" width="5.875" style="0" customWidth="1"/>
    <col min="15" max="15" width="10.125" style="0" customWidth="1"/>
    <col min="16" max="16" width="6.125" style="0" customWidth="1"/>
  </cols>
  <sheetData>
    <row r="1" ht="14.25">
      <c r="A1" s="61" t="s">
        <v>322</v>
      </c>
    </row>
    <row r="2" spans="1:6" ht="13.5">
      <c r="A2" s="1" t="s">
        <v>313</v>
      </c>
      <c r="F2" s="80" t="s">
        <v>323</v>
      </c>
    </row>
    <row r="3" spans="1:6" ht="13.5">
      <c r="A3" s="1"/>
      <c r="F3" s="80"/>
    </row>
    <row r="4" ht="13.5">
      <c r="C4" t="s">
        <v>324</v>
      </c>
    </row>
    <row r="5" ht="13.5">
      <c r="C5" t="s">
        <v>325</v>
      </c>
    </row>
    <row r="6" spans="1:14" ht="13.5">
      <c r="A6" s="1" t="s">
        <v>291</v>
      </c>
      <c r="J6" s="77" t="s">
        <v>314</v>
      </c>
      <c r="N6" s="76" t="s">
        <v>315</v>
      </c>
    </row>
    <row r="7" spans="1:16" ht="27">
      <c r="A7" s="38" t="s">
        <v>292</v>
      </c>
      <c r="B7" s="38" t="s">
        <v>199</v>
      </c>
      <c r="C7" s="38" t="s">
        <v>294</v>
      </c>
      <c r="D7" s="38" t="s">
        <v>316</v>
      </c>
      <c r="E7" s="82" t="s">
        <v>317</v>
      </c>
      <c r="F7" s="82" t="s">
        <v>318</v>
      </c>
      <c r="G7" s="38" t="s">
        <v>319</v>
      </c>
      <c r="J7" s="83" t="s">
        <v>294</v>
      </c>
      <c r="K7" s="83" t="s">
        <v>292</v>
      </c>
      <c r="L7" s="83" t="s">
        <v>199</v>
      </c>
      <c r="N7" s="38" t="s">
        <v>294</v>
      </c>
      <c r="O7" s="38" t="s">
        <v>292</v>
      </c>
      <c r="P7" s="38" t="s">
        <v>199</v>
      </c>
    </row>
    <row r="8" spans="1:16" ht="13.5">
      <c r="A8" s="3" t="s">
        <v>295</v>
      </c>
      <c r="B8" s="3">
        <v>150</v>
      </c>
      <c r="C8" s="21">
        <f>RANK(B8,$B$8:$B$19)</f>
        <v>3</v>
      </c>
      <c r="D8" s="79">
        <v>0.01</v>
      </c>
      <c r="E8" s="78">
        <f aca="true" t="shared" si="0" ref="E8:E19">C8+D8</f>
        <v>3.01</v>
      </c>
      <c r="F8" s="28">
        <f>RANK(E8,$E$8:$E$19,1)</f>
        <v>3</v>
      </c>
      <c r="G8" s="3" t="str">
        <f aca="true" t="shared" si="1" ref="G8:G19">A8</f>
        <v>大川　淳二</v>
      </c>
      <c r="I8">
        <v>1</v>
      </c>
      <c r="J8" s="84">
        <f>VLOOKUP(K8,$A$7:$C$19,3,FALSE)</f>
        <v>1</v>
      </c>
      <c r="K8" s="84" t="str">
        <f>VLOOKUP(I8,$F$7:$G$19,2,FALSE)</f>
        <v>松浦　雄介</v>
      </c>
      <c r="L8" s="84">
        <f>VLOOKUP(K8,$A$7:$C$19,2,FALSE)</f>
        <v>180</v>
      </c>
      <c r="N8" s="28">
        <f aca="true" t="shared" si="2" ref="N8:N19">IF(J8&lt;=5,J8,"")</f>
        <v>1</v>
      </c>
      <c r="O8" s="28" t="str">
        <f aca="true" t="shared" si="3" ref="O8:O19">IF(J8&lt;=5,K8,"")</f>
        <v>松浦　雄介</v>
      </c>
      <c r="P8" s="28">
        <f aca="true" t="shared" si="4" ref="P8:P19">IF(J8&lt;=5,L8,"")</f>
        <v>180</v>
      </c>
    </row>
    <row r="9" spans="1:16" ht="13.5">
      <c r="A9" s="3" t="s">
        <v>296</v>
      </c>
      <c r="B9" s="3">
        <v>90</v>
      </c>
      <c r="C9" s="3">
        <f aca="true" t="shared" si="5" ref="C9:C19">RANK(B9,$B$8:$B$19)</f>
        <v>8</v>
      </c>
      <c r="D9" s="79">
        <v>0.02</v>
      </c>
      <c r="E9" s="78">
        <f t="shared" si="0"/>
        <v>8.02</v>
      </c>
      <c r="F9" s="28">
        <f aca="true" t="shared" si="6" ref="F9:F19">RANK(E9,$E$8:$E$19,1)</f>
        <v>8</v>
      </c>
      <c r="G9" s="3" t="str">
        <f t="shared" si="1"/>
        <v>金田　洋子</v>
      </c>
      <c r="I9">
        <v>2</v>
      </c>
      <c r="J9" s="84">
        <f aca="true" t="shared" si="7" ref="J9:J19">VLOOKUP(K9,$A$7:$C$19,3,FALSE)</f>
        <v>2</v>
      </c>
      <c r="K9" s="84" t="str">
        <f aca="true" t="shared" si="8" ref="K9:K19">VLOOKUP(I9,$F$7:$G$19,2,FALSE)</f>
        <v>杉田　佳代</v>
      </c>
      <c r="L9" s="84">
        <f aca="true" t="shared" si="9" ref="L9:L19">VLOOKUP(K9,$A$7:$C$19,2,FALSE)</f>
        <v>170</v>
      </c>
      <c r="N9" s="28">
        <f t="shared" si="2"/>
        <v>2</v>
      </c>
      <c r="O9" s="28" t="str">
        <f t="shared" si="3"/>
        <v>杉田　佳代</v>
      </c>
      <c r="P9" s="28">
        <f t="shared" si="4"/>
        <v>170</v>
      </c>
    </row>
    <row r="10" spans="1:16" ht="13.5">
      <c r="A10" s="3" t="s">
        <v>297</v>
      </c>
      <c r="B10" s="3">
        <v>80</v>
      </c>
      <c r="C10" s="27">
        <f t="shared" si="5"/>
        <v>9</v>
      </c>
      <c r="D10" s="79">
        <v>0.03</v>
      </c>
      <c r="E10" s="78">
        <f t="shared" si="0"/>
        <v>9.03</v>
      </c>
      <c r="F10" s="28">
        <f t="shared" si="6"/>
        <v>9</v>
      </c>
      <c r="G10" s="3" t="str">
        <f t="shared" si="1"/>
        <v>近藤　智代</v>
      </c>
      <c r="I10">
        <v>3</v>
      </c>
      <c r="J10" s="84">
        <f t="shared" si="7"/>
        <v>3</v>
      </c>
      <c r="K10" s="84" t="str">
        <f t="shared" si="8"/>
        <v>大川　淳二</v>
      </c>
      <c r="L10" s="84">
        <f t="shared" si="9"/>
        <v>150</v>
      </c>
      <c r="N10" s="28">
        <f t="shared" si="2"/>
        <v>3</v>
      </c>
      <c r="O10" s="28" t="str">
        <f t="shared" si="3"/>
        <v>大川　淳二</v>
      </c>
      <c r="P10" s="28">
        <f t="shared" si="4"/>
        <v>150</v>
      </c>
    </row>
    <row r="11" spans="1:16" ht="13.5">
      <c r="A11" s="3" t="s">
        <v>298</v>
      </c>
      <c r="B11" s="3">
        <v>130</v>
      </c>
      <c r="C11" s="81">
        <f t="shared" si="5"/>
        <v>5</v>
      </c>
      <c r="D11" s="79">
        <v>0.04</v>
      </c>
      <c r="E11" s="78">
        <f t="shared" si="0"/>
        <v>5.04</v>
      </c>
      <c r="F11" s="28">
        <f t="shared" si="6"/>
        <v>5</v>
      </c>
      <c r="G11" s="3" t="str">
        <f t="shared" si="1"/>
        <v>桜井　忠</v>
      </c>
      <c r="I11">
        <v>4</v>
      </c>
      <c r="J11" s="84">
        <f t="shared" si="7"/>
        <v>3</v>
      </c>
      <c r="K11" s="84" t="str">
        <f t="shared" si="8"/>
        <v>本田　澄夫</v>
      </c>
      <c r="L11" s="84">
        <f t="shared" si="9"/>
        <v>150</v>
      </c>
      <c r="N11" s="28">
        <f t="shared" si="2"/>
        <v>3</v>
      </c>
      <c r="O11" s="28" t="str">
        <f t="shared" si="3"/>
        <v>本田　澄夫</v>
      </c>
      <c r="P11" s="28">
        <f t="shared" si="4"/>
        <v>150</v>
      </c>
    </row>
    <row r="12" spans="1:16" ht="13.5">
      <c r="A12" s="3" t="s">
        <v>299</v>
      </c>
      <c r="B12" s="3">
        <v>170</v>
      </c>
      <c r="C12" s="3">
        <f t="shared" si="5"/>
        <v>2</v>
      </c>
      <c r="D12" s="79">
        <v>0.05</v>
      </c>
      <c r="E12" s="78">
        <f t="shared" si="0"/>
        <v>2.05</v>
      </c>
      <c r="F12" s="28">
        <f t="shared" si="6"/>
        <v>2</v>
      </c>
      <c r="G12" s="3" t="str">
        <f t="shared" si="1"/>
        <v>杉田　佳代</v>
      </c>
      <c r="I12">
        <v>5</v>
      </c>
      <c r="J12" s="84">
        <f t="shared" si="7"/>
        <v>5</v>
      </c>
      <c r="K12" s="84" t="str">
        <f t="shared" si="8"/>
        <v>桜井　忠</v>
      </c>
      <c r="L12" s="84">
        <f t="shared" si="9"/>
        <v>130</v>
      </c>
      <c r="N12" s="28">
        <f t="shared" si="2"/>
        <v>5</v>
      </c>
      <c r="O12" s="28" t="str">
        <f t="shared" si="3"/>
        <v>桜井　忠</v>
      </c>
      <c r="P12" s="28">
        <f t="shared" si="4"/>
        <v>130</v>
      </c>
    </row>
    <row r="13" spans="1:16" ht="13.5">
      <c r="A13" s="3" t="s">
        <v>300</v>
      </c>
      <c r="B13" s="3">
        <v>80</v>
      </c>
      <c r="C13" s="27">
        <f t="shared" si="5"/>
        <v>9</v>
      </c>
      <c r="D13" s="79">
        <v>0.06</v>
      </c>
      <c r="E13" s="78">
        <f t="shared" si="0"/>
        <v>9.06</v>
      </c>
      <c r="F13" s="28">
        <f t="shared" si="6"/>
        <v>10</v>
      </c>
      <c r="G13" s="3" t="str">
        <f t="shared" si="1"/>
        <v>鈴木　美雪</v>
      </c>
      <c r="I13">
        <v>6</v>
      </c>
      <c r="J13" s="84">
        <f t="shared" si="7"/>
        <v>5</v>
      </c>
      <c r="K13" s="84" t="str">
        <f t="shared" si="8"/>
        <v>水沼　幸子</v>
      </c>
      <c r="L13" s="84">
        <f t="shared" si="9"/>
        <v>130</v>
      </c>
      <c r="N13" s="28">
        <f t="shared" si="2"/>
        <v>5</v>
      </c>
      <c r="O13" s="28" t="str">
        <f t="shared" si="3"/>
        <v>水沼　幸子</v>
      </c>
      <c r="P13" s="28">
        <f t="shared" si="4"/>
        <v>130</v>
      </c>
    </row>
    <row r="14" spans="1:16" ht="13.5">
      <c r="A14" s="3" t="s">
        <v>301</v>
      </c>
      <c r="B14" s="3">
        <v>100</v>
      </c>
      <c r="C14" s="3">
        <f t="shared" si="5"/>
        <v>7</v>
      </c>
      <c r="D14" s="79">
        <v>0.07</v>
      </c>
      <c r="E14" s="78">
        <f t="shared" si="0"/>
        <v>7.07</v>
      </c>
      <c r="F14" s="28">
        <f t="shared" si="6"/>
        <v>7</v>
      </c>
      <c r="G14" s="3" t="str">
        <f t="shared" si="1"/>
        <v>林　啓太</v>
      </c>
      <c r="I14">
        <v>7</v>
      </c>
      <c r="J14" s="84">
        <f t="shared" si="7"/>
        <v>7</v>
      </c>
      <c r="K14" s="84" t="str">
        <f t="shared" si="8"/>
        <v>林　啓太</v>
      </c>
      <c r="L14" s="84">
        <f t="shared" si="9"/>
        <v>100</v>
      </c>
      <c r="N14" s="3">
        <f t="shared" si="2"/>
      </c>
      <c r="O14" s="3">
        <f t="shared" si="3"/>
      </c>
      <c r="P14" s="3">
        <f t="shared" si="4"/>
      </c>
    </row>
    <row r="15" spans="1:17" ht="13.5">
      <c r="A15" s="3" t="s">
        <v>302</v>
      </c>
      <c r="B15" s="3">
        <v>150</v>
      </c>
      <c r="C15" s="21">
        <f t="shared" si="5"/>
        <v>3</v>
      </c>
      <c r="D15" s="79">
        <v>0.08</v>
      </c>
      <c r="E15" s="78">
        <f t="shared" si="0"/>
        <v>3.08</v>
      </c>
      <c r="F15" s="28">
        <f t="shared" si="6"/>
        <v>4</v>
      </c>
      <c r="G15" s="3" t="str">
        <f t="shared" si="1"/>
        <v>本田　澄夫</v>
      </c>
      <c r="I15">
        <v>8</v>
      </c>
      <c r="J15" s="84">
        <f t="shared" si="7"/>
        <v>8</v>
      </c>
      <c r="K15" s="84" t="str">
        <f t="shared" si="8"/>
        <v>金田　洋子</v>
      </c>
      <c r="L15" s="84">
        <f t="shared" si="9"/>
        <v>90</v>
      </c>
      <c r="N15" s="97" t="s">
        <v>329</v>
      </c>
      <c r="O15" s="98"/>
      <c r="P15" s="98"/>
      <c r="Q15" s="98"/>
    </row>
    <row r="16" spans="1:16" ht="13.5">
      <c r="A16" s="3" t="s">
        <v>303</v>
      </c>
      <c r="B16" s="3">
        <v>50</v>
      </c>
      <c r="C16" s="3">
        <f t="shared" si="5"/>
        <v>12</v>
      </c>
      <c r="D16" s="79">
        <v>0.09</v>
      </c>
      <c r="E16" s="78">
        <f t="shared" si="0"/>
        <v>12.09</v>
      </c>
      <c r="F16" s="28">
        <f t="shared" si="6"/>
        <v>12</v>
      </c>
      <c r="G16" s="3" t="str">
        <f t="shared" si="1"/>
        <v>巻　浩二郎</v>
      </c>
      <c r="I16">
        <v>9</v>
      </c>
      <c r="J16" s="84">
        <f t="shared" si="7"/>
        <v>9</v>
      </c>
      <c r="K16" s="84" t="str">
        <f t="shared" si="8"/>
        <v>近藤　智代</v>
      </c>
      <c r="L16" s="84">
        <f t="shared" si="9"/>
        <v>80</v>
      </c>
      <c r="N16" s="3"/>
      <c r="O16" s="3">
        <f t="shared" si="3"/>
      </c>
      <c r="P16" s="3">
        <f t="shared" si="4"/>
      </c>
    </row>
    <row r="17" spans="1:16" ht="13.5">
      <c r="A17" s="3" t="s">
        <v>304</v>
      </c>
      <c r="B17" s="3">
        <v>180</v>
      </c>
      <c r="C17" s="3">
        <f t="shared" si="5"/>
        <v>1</v>
      </c>
      <c r="D17" s="79">
        <v>0.1</v>
      </c>
      <c r="E17" s="78">
        <f t="shared" si="0"/>
        <v>1.1</v>
      </c>
      <c r="F17" s="28">
        <f t="shared" si="6"/>
        <v>1</v>
      </c>
      <c r="G17" s="3" t="str">
        <f t="shared" si="1"/>
        <v>松浦　雄介</v>
      </c>
      <c r="I17">
        <v>10</v>
      </c>
      <c r="J17" s="84">
        <f t="shared" si="7"/>
        <v>9</v>
      </c>
      <c r="K17" s="84" t="str">
        <f t="shared" si="8"/>
        <v>鈴木　美雪</v>
      </c>
      <c r="L17" s="84">
        <f t="shared" si="9"/>
        <v>80</v>
      </c>
      <c r="N17" s="3">
        <f t="shared" si="2"/>
      </c>
      <c r="O17" s="3">
        <f t="shared" si="3"/>
      </c>
      <c r="P17" s="3">
        <f t="shared" si="4"/>
      </c>
    </row>
    <row r="18" spans="1:16" ht="13.5">
      <c r="A18" s="3" t="s">
        <v>305</v>
      </c>
      <c r="B18" s="3">
        <v>130</v>
      </c>
      <c r="C18" s="81">
        <f t="shared" si="5"/>
        <v>5</v>
      </c>
      <c r="D18" s="79">
        <v>0.11</v>
      </c>
      <c r="E18" s="78">
        <f t="shared" si="0"/>
        <v>5.11</v>
      </c>
      <c r="F18" s="28">
        <f t="shared" si="6"/>
        <v>6</v>
      </c>
      <c r="G18" s="3" t="str">
        <f t="shared" si="1"/>
        <v>水沼　幸子</v>
      </c>
      <c r="I18">
        <v>11</v>
      </c>
      <c r="J18" s="84">
        <f t="shared" si="7"/>
        <v>11</v>
      </c>
      <c r="K18" s="84" t="str">
        <f t="shared" si="8"/>
        <v>悠木　博</v>
      </c>
      <c r="L18" s="84">
        <f t="shared" si="9"/>
        <v>60</v>
      </c>
      <c r="N18" s="3">
        <f t="shared" si="2"/>
      </c>
      <c r="O18" s="3">
        <f t="shared" si="3"/>
      </c>
      <c r="P18" s="3">
        <f t="shared" si="4"/>
      </c>
    </row>
    <row r="19" spans="1:16" ht="13.5">
      <c r="A19" s="3" t="s">
        <v>306</v>
      </c>
      <c r="B19" s="3">
        <v>60</v>
      </c>
      <c r="C19" s="3">
        <f t="shared" si="5"/>
        <v>11</v>
      </c>
      <c r="D19" s="79">
        <v>0.12</v>
      </c>
      <c r="E19" s="78">
        <f t="shared" si="0"/>
        <v>11.12</v>
      </c>
      <c r="F19" s="28">
        <f t="shared" si="6"/>
        <v>11</v>
      </c>
      <c r="G19" s="3" t="str">
        <f t="shared" si="1"/>
        <v>悠木　博</v>
      </c>
      <c r="I19">
        <v>12</v>
      </c>
      <c r="J19" s="84">
        <f t="shared" si="7"/>
        <v>12</v>
      </c>
      <c r="K19" s="84" t="str">
        <f t="shared" si="8"/>
        <v>巻　浩二郎</v>
      </c>
      <c r="L19" s="84">
        <f t="shared" si="9"/>
        <v>50</v>
      </c>
      <c r="N19" s="74">
        <f t="shared" si="2"/>
      </c>
      <c r="O19" s="74">
        <f t="shared" si="3"/>
      </c>
      <c r="P19" s="74">
        <f t="shared" si="4"/>
      </c>
    </row>
    <row r="21" ht="13.5">
      <c r="B21" s="70" t="s">
        <v>320</v>
      </c>
    </row>
    <row r="22" spans="2:9" ht="13.5">
      <c r="B22" s="70" t="s">
        <v>321</v>
      </c>
      <c r="I22" t="s">
        <v>314</v>
      </c>
    </row>
    <row r="23" ht="13.5">
      <c r="I23" t="s">
        <v>326</v>
      </c>
    </row>
    <row r="24" ht="13.5">
      <c r="I24" t="s">
        <v>327</v>
      </c>
    </row>
    <row r="25" ht="13.5">
      <c r="I25" t="s">
        <v>328</v>
      </c>
    </row>
    <row r="26" ht="13.5">
      <c r="E26" s="65"/>
    </row>
  </sheetData>
  <mergeCells count="1">
    <mergeCell ref="N15:Q15"/>
  </mergeCells>
  <printOptions/>
  <pageMargins left="0.75" right="0.75" top="1" bottom="1" header="0.512" footer="0.512"/>
  <pageSetup orientation="portrait" paperSize="9" r:id="rId2"/>
  <drawing r:id="rId1"/>
</worksheet>
</file>

<file path=xl/worksheets/sheet23.xml><?xml version="1.0" encoding="utf-8"?>
<worksheet xmlns="http://schemas.openxmlformats.org/spreadsheetml/2006/main" xmlns:r="http://schemas.openxmlformats.org/officeDocument/2006/relationships">
  <dimension ref="A1:E17"/>
  <sheetViews>
    <sheetView workbookViewId="0" topLeftCell="A1">
      <selection activeCell="G8" sqref="G8"/>
    </sheetView>
  </sheetViews>
  <sheetFormatPr defaultColWidth="9.00390625" defaultRowHeight="13.5"/>
  <cols>
    <col min="1" max="1" width="10.125" style="0" customWidth="1"/>
  </cols>
  <sheetData>
    <row r="1" ht="14.25">
      <c r="A1" s="61" t="s">
        <v>330</v>
      </c>
    </row>
    <row r="2" ht="14.25">
      <c r="A2" s="61" t="s">
        <v>331</v>
      </c>
    </row>
    <row r="4" ht="13.5">
      <c r="A4" s="1" t="s">
        <v>332</v>
      </c>
    </row>
    <row r="5" spans="1:5" ht="13.5">
      <c r="A5" s="38" t="s">
        <v>292</v>
      </c>
      <c r="B5" s="38" t="s">
        <v>333</v>
      </c>
      <c r="C5" s="38" t="s">
        <v>334</v>
      </c>
      <c r="D5" s="38" t="s">
        <v>335</v>
      </c>
      <c r="E5" s="38" t="s">
        <v>336</v>
      </c>
    </row>
    <row r="6" spans="1:5" ht="13.5">
      <c r="A6" s="3" t="s">
        <v>295</v>
      </c>
      <c r="B6" s="3">
        <v>70</v>
      </c>
      <c r="C6" s="3">
        <v>80</v>
      </c>
      <c r="D6" s="3">
        <f>B6+C6</f>
        <v>150</v>
      </c>
      <c r="E6" s="85" t="str">
        <f aca="true" t="shared" si="0" ref="E6:E17">IF(D6&gt;=100,"合格","不合格")</f>
        <v>合格</v>
      </c>
    </row>
    <row r="7" spans="1:5" ht="13.5">
      <c r="A7" s="3" t="s">
        <v>296</v>
      </c>
      <c r="B7" s="3">
        <v>70</v>
      </c>
      <c r="C7" s="3">
        <v>20</v>
      </c>
      <c r="D7" s="3">
        <f aca="true" t="shared" si="1" ref="D7:D17">B7+C7</f>
        <v>90</v>
      </c>
      <c r="E7" s="85" t="str">
        <f t="shared" si="0"/>
        <v>不合格</v>
      </c>
    </row>
    <row r="8" spans="1:5" ht="13.5">
      <c r="A8" s="3" t="s">
        <v>297</v>
      </c>
      <c r="B8" s="3">
        <v>40</v>
      </c>
      <c r="C8" s="3">
        <v>40</v>
      </c>
      <c r="D8" s="3">
        <f t="shared" si="1"/>
        <v>80</v>
      </c>
      <c r="E8" s="85" t="str">
        <f t="shared" si="0"/>
        <v>不合格</v>
      </c>
    </row>
    <row r="9" spans="1:5" ht="13.5">
      <c r="A9" s="3" t="s">
        <v>298</v>
      </c>
      <c r="B9" s="3">
        <v>70</v>
      </c>
      <c r="C9" s="3">
        <v>50</v>
      </c>
      <c r="D9" s="3">
        <f t="shared" si="1"/>
        <v>120</v>
      </c>
      <c r="E9" s="85" t="str">
        <f t="shared" si="0"/>
        <v>合格</v>
      </c>
    </row>
    <row r="10" spans="1:5" ht="13.5">
      <c r="A10" s="3" t="s">
        <v>299</v>
      </c>
      <c r="B10" s="3">
        <v>85</v>
      </c>
      <c r="C10" s="3">
        <v>85</v>
      </c>
      <c r="D10" s="3">
        <f t="shared" si="1"/>
        <v>170</v>
      </c>
      <c r="E10" s="85" t="str">
        <f t="shared" si="0"/>
        <v>合格</v>
      </c>
    </row>
    <row r="11" spans="1:5" ht="13.5">
      <c r="A11" s="3" t="s">
        <v>300</v>
      </c>
      <c r="B11" s="3">
        <v>30</v>
      </c>
      <c r="C11" s="3">
        <v>50</v>
      </c>
      <c r="D11" s="3">
        <f t="shared" si="1"/>
        <v>80</v>
      </c>
      <c r="E11" s="85" t="str">
        <f t="shared" si="0"/>
        <v>不合格</v>
      </c>
    </row>
    <row r="12" spans="1:5" ht="13.5">
      <c r="A12" s="3" t="s">
        <v>301</v>
      </c>
      <c r="B12" s="3">
        <v>65</v>
      </c>
      <c r="C12" s="3">
        <v>35</v>
      </c>
      <c r="D12" s="3">
        <f t="shared" si="1"/>
        <v>100</v>
      </c>
      <c r="E12" s="85" t="str">
        <f t="shared" si="0"/>
        <v>合格</v>
      </c>
    </row>
    <row r="13" spans="1:5" ht="13.5">
      <c r="A13" s="3" t="s">
        <v>302</v>
      </c>
      <c r="B13" s="3">
        <v>80</v>
      </c>
      <c r="C13" s="3">
        <v>70</v>
      </c>
      <c r="D13" s="3">
        <f t="shared" si="1"/>
        <v>150</v>
      </c>
      <c r="E13" s="85" t="str">
        <f t="shared" si="0"/>
        <v>合格</v>
      </c>
    </row>
    <row r="14" spans="1:5" ht="13.5">
      <c r="A14" s="3" t="s">
        <v>303</v>
      </c>
      <c r="B14" s="3">
        <v>25</v>
      </c>
      <c r="C14" s="3">
        <v>25</v>
      </c>
      <c r="D14" s="3">
        <f t="shared" si="1"/>
        <v>50</v>
      </c>
      <c r="E14" s="85" t="str">
        <f t="shared" si="0"/>
        <v>不合格</v>
      </c>
    </row>
    <row r="15" spans="1:5" ht="13.5">
      <c r="A15" s="3" t="s">
        <v>304</v>
      </c>
      <c r="B15" s="3">
        <v>90</v>
      </c>
      <c r="C15" s="3">
        <v>90</v>
      </c>
      <c r="D15" s="3">
        <f t="shared" si="1"/>
        <v>180</v>
      </c>
      <c r="E15" s="85" t="str">
        <f t="shared" si="0"/>
        <v>合格</v>
      </c>
    </row>
    <row r="16" spans="1:5" ht="13.5">
      <c r="A16" s="3" t="s">
        <v>305</v>
      </c>
      <c r="B16" s="3">
        <v>95</v>
      </c>
      <c r="C16" s="3">
        <v>35</v>
      </c>
      <c r="D16" s="3">
        <f t="shared" si="1"/>
        <v>130</v>
      </c>
      <c r="E16" s="85" t="str">
        <f t="shared" si="0"/>
        <v>合格</v>
      </c>
    </row>
    <row r="17" spans="1:5" ht="13.5">
      <c r="A17" s="3" t="s">
        <v>306</v>
      </c>
      <c r="B17" s="3">
        <v>35</v>
      </c>
      <c r="C17" s="3">
        <v>25</v>
      </c>
      <c r="D17" s="3">
        <f t="shared" si="1"/>
        <v>60</v>
      </c>
      <c r="E17" s="85" t="str">
        <f t="shared" si="0"/>
        <v>不合格</v>
      </c>
    </row>
  </sheetData>
  <printOptions/>
  <pageMargins left="0.75" right="0.75" top="1" bottom="1" header="0.512" footer="0.512"/>
  <pageSetup orientation="portrait" paperSize="9" r:id="rId1"/>
</worksheet>
</file>

<file path=xl/worksheets/sheet24.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3.5"/>
  <sheetData>
    <row r="1" ht="14.25">
      <c r="A1" s="61" t="s">
        <v>338</v>
      </c>
    </row>
    <row r="2" ht="14.25">
      <c r="A2" s="61" t="s">
        <v>348</v>
      </c>
    </row>
    <row r="5" ht="13.5">
      <c r="A5" s="1" t="s">
        <v>291</v>
      </c>
    </row>
    <row r="6" spans="1:8" ht="13.5">
      <c r="A6" s="38" t="s">
        <v>292</v>
      </c>
      <c r="B6" s="38" t="s">
        <v>333</v>
      </c>
      <c r="C6" s="38" t="s">
        <v>334</v>
      </c>
      <c r="D6" s="38" t="s">
        <v>335</v>
      </c>
      <c r="E6" s="38" t="s">
        <v>337</v>
      </c>
      <c r="G6" s="99" t="s">
        <v>347</v>
      </c>
      <c r="H6" s="99"/>
    </row>
    <row r="7" spans="1:8" ht="13.5">
      <c r="A7" s="3" t="s">
        <v>295</v>
      </c>
      <c r="B7" s="3">
        <v>70</v>
      </c>
      <c r="C7" s="3">
        <v>80</v>
      </c>
      <c r="D7" s="3">
        <f aca="true" t="shared" si="0" ref="D7:D18">B7+C7</f>
        <v>150</v>
      </c>
      <c r="E7" s="85" t="str">
        <f aca="true" t="shared" si="1" ref="E7:E18">IF(D7&gt;=170,"A",IF(D7&gt;=120,"B",IF(D7&gt;=70,"C","D")))</f>
        <v>B</v>
      </c>
      <c r="G7" s="18" t="s">
        <v>342</v>
      </c>
      <c r="H7" s="18" t="s">
        <v>343</v>
      </c>
    </row>
    <row r="8" spans="1:8" ht="13.5">
      <c r="A8" s="3" t="s">
        <v>296</v>
      </c>
      <c r="B8" s="3">
        <v>70</v>
      </c>
      <c r="C8" s="3">
        <v>20</v>
      </c>
      <c r="D8" s="3">
        <f t="shared" si="0"/>
        <v>90</v>
      </c>
      <c r="E8" s="85" t="str">
        <f t="shared" si="1"/>
        <v>C</v>
      </c>
      <c r="G8" s="18" t="s">
        <v>341</v>
      </c>
      <c r="H8" s="18" t="s">
        <v>344</v>
      </c>
    </row>
    <row r="9" spans="1:8" ht="13.5">
      <c r="A9" s="3" t="s">
        <v>297</v>
      </c>
      <c r="B9" s="3">
        <v>40</v>
      </c>
      <c r="C9" s="3">
        <v>40</v>
      </c>
      <c r="D9" s="3">
        <f t="shared" si="0"/>
        <v>80</v>
      </c>
      <c r="E9" s="85" t="str">
        <f t="shared" si="1"/>
        <v>C</v>
      </c>
      <c r="G9" s="18" t="s">
        <v>340</v>
      </c>
      <c r="H9" s="18" t="s">
        <v>345</v>
      </c>
    </row>
    <row r="10" spans="1:8" ht="13.5">
      <c r="A10" s="3" t="s">
        <v>298</v>
      </c>
      <c r="B10" s="3">
        <v>70</v>
      </c>
      <c r="C10" s="3">
        <v>50</v>
      </c>
      <c r="D10" s="3">
        <f t="shared" si="0"/>
        <v>120</v>
      </c>
      <c r="E10" s="85" t="str">
        <f t="shared" si="1"/>
        <v>B</v>
      </c>
      <c r="G10" s="73" t="s">
        <v>339</v>
      </c>
      <c r="H10" s="18" t="s">
        <v>346</v>
      </c>
    </row>
    <row r="11" spans="1:5" ht="13.5">
      <c r="A11" s="3" t="s">
        <v>299</v>
      </c>
      <c r="B11" s="3">
        <v>85</v>
      </c>
      <c r="C11" s="3">
        <v>85</v>
      </c>
      <c r="D11" s="3">
        <f t="shared" si="0"/>
        <v>170</v>
      </c>
      <c r="E11" s="85" t="str">
        <f t="shared" si="1"/>
        <v>A</v>
      </c>
    </row>
    <row r="12" spans="1:7" ht="13.5">
      <c r="A12" s="3" t="s">
        <v>300</v>
      </c>
      <c r="B12" s="3">
        <v>30</v>
      </c>
      <c r="C12" s="3">
        <v>50</v>
      </c>
      <c r="D12" s="3">
        <f t="shared" si="0"/>
        <v>80</v>
      </c>
      <c r="E12" s="85" t="str">
        <f t="shared" si="1"/>
        <v>C</v>
      </c>
      <c r="G12" s="86" t="s">
        <v>349</v>
      </c>
    </row>
    <row r="13" spans="1:6" ht="13.5">
      <c r="A13" s="3" t="s">
        <v>301</v>
      </c>
      <c r="B13" s="3">
        <v>65</v>
      </c>
      <c r="C13" s="3">
        <v>35</v>
      </c>
      <c r="D13" s="3">
        <f t="shared" si="0"/>
        <v>100</v>
      </c>
      <c r="E13" s="85" t="str">
        <f t="shared" si="1"/>
        <v>C</v>
      </c>
      <c r="F13" t="s">
        <v>350</v>
      </c>
    </row>
    <row r="14" spans="1:6" ht="13.5">
      <c r="A14" s="3" t="s">
        <v>302</v>
      </c>
      <c r="B14" s="3">
        <v>80</v>
      </c>
      <c r="C14" s="3">
        <v>70</v>
      </c>
      <c r="D14" s="3">
        <f t="shared" si="0"/>
        <v>150</v>
      </c>
      <c r="E14" s="85" t="str">
        <f t="shared" si="1"/>
        <v>B</v>
      </c>
      <c r="F14" t="s">
        <v>351</v>
      </c>
    </row>
    <row r="15" spans="1:5" ht="13.5">
      <c r="A15" s="3" t="s">
        <v>303</v>
      </c>
      <c r="B15" s="3">
        <v>25</v>
      </c>
      <c r="C15" s="3">
        <v>25</v>
      </c>
      <c r="D15" s="3">
        <f t="shared" si="0"/>
        <v>50</v>
      </c>
      <c r="E15" s="85" t="str">
        <f t="shared" si="1"/>
        <v>D</v>
      </c>
    </row>
    <row r="16" spans="1:6" ht="13.5">
      <c r="A16" s="3" t="s">
        <v>304</v>
      </c>
      <c r="B16" s="3">
        <v>90</v>
      </c>
      <c r="C16" s="3">
        <v>90</v>
      </c>
      <c r="D16" s="3">
        <f t="shared" si="0"/>
        <v>180</v>
      </c>
      <c r="E16" s="85" t="str">
        <f t="shared" si="1"/>
        <v>A</v>
      </c>
      <c r="F16" t="s">
        <v>353</v>
      </c>
    </row>
    <row r="17" spans="1:6" ht="13.5">
      <c r="A17" s="3" t="s">
        <v>305</v>
      </c>
      <c r="B17" s="3">
        <v>95</v>
      </c>
      <c r="C17" s="3">
        <v>35</v>
      </c>
      <c r="D17" s="3">
        <f t="shared" si="0"/>
        <v>130</v>
      </c>
      <c r="E17" s="85" t="str">
        <f t="shared" si="1"/>
        <v>B</v>
      </c>
      <c r="F17" t="s">
        <v>352</v>
      </c>
    </row>
    <row r="18" spans="1:5" ht="13.5">
      <c r="A18" s="3" t="s">
        <v>306</v>
      </c>
      <c r="B18" s="3">
        <v>35</v>
      </c>
      <c r="C18" s="3">
        <v>25</v>
      </c>
      <c r="D18" s="3">
        <f t="shared" si="0"/>
        <v>60</v>
      </c>
      <c r="E18" s="85" t="str">
        <f t="shared" si="1"/>
        <v>D</v>
      </c>
    </row>
  </sheetData>
  <mergeCells count="1">
    <mergeCell ref="G6:H6"/>
  </mergeCells>
  <printOptions/>
  <pageMargins left="0.75" right="0.75" top="1" bottom="1" header="0.512" footer="0.512"/>
  <pageSetup orientation="portrait" paperSize="9"/>
  <drawing r:id="rId1"/>
</worksheet>
</file>

<file path=xl/worksheets/sheet25.xml><?xml version="1.0" encoding="utf-8"?>
<worksheet xmlns="http://schemas.openxmlformats.org/spreadsheetml/2006/main" xmlns:r="http://schemas.openxmlformats.org/officeDocument/2006/relationships">
  <dimension ref="A1:P33"/>
  <sheetViews>
    <sheetView workbookViewId="0" topLeftCell="A1">
      <selection activeCell="H15" sqref="H15"/>
    </sheetView>
  </sheetViews>
  <sheetFormatPr defaultColWidth="9.00390625" defaultRowHeight="13.5"/>
  <cols>
    <col min="1" max="1" width="10.25390625" style="0" customWidth="1"/>
    <col min="14" max="14" width="3.375" style="0" customWidth="1"/>
    <col min="15" max="15" width="5.50390625" style="0" customWidth="1"/>
  </cols>
  <sheetData>
    <row r="1" spans="1:5" ht="14.25">
      <c r="A1" s="61" t="s">
        <v>354</v>
      </c>
      <c r="E1" s="61" t="s">
        <v>360</v>
      </c>
    </row>
    <row r="2" spans="1:3" ht="14.25">
      <c r="A2" s="61" t="s">
        <v>31</v>
      </c>
      <c r="B2" s="61" t="s">
        <v>355</v>
      </c>
      <c r="C2" s="61" t="s">
        <v>356</v>
      </c>
    </row>
    <row r="3" spans="1:5" ht="14.25">
      <c r="A3" s="61"/>
      <c r="B3" s="61"/>
      <c r="C3" s="61"/>
      <c r="E3" t="s">
        <v>361</v>
      </c>
    </row>
    <row r="4" spans="1:5" ht="14.25">
      <c r="A4" s="61"/>
      <c r="B4" s="61"/>
      <c r="C4" s="61"/>
      <c r="E4" t="s">
        <v>362</v>
      </c>
    </row>
    <row r="5" ht="13.5">
      <c r="E5" t="s">
        <v>363</v>
      </c>
    </row>
    <row r="6" ht="13.5">
      <c r="A6" s="1" t="s">
        <v>291</v>
      </c>
    </row>
    <row r="7" spans="1:11" ht="13.5">
      <c r="A7" s="38" t="s">
        <v>292</v>
      </c>
      <c r="B7" s="38" t="s">
        <v>333</v>
      </c>
      <c r="C7" s="38" t="s">
        <v>334</v>
      </c>
      <c r="D7" s="38" t="s">
        <v>335</v>
      </c>
      <c r="E7" s="38" t="s">
        <v>357</v>
      </c>
      <c r="F7" s="38" t="s">
        <v>358</v>
      </c>
      <c r="G7" s="38" t="s">
        <v>359</v>
      </c>
      <c r="H7" s="38" t="s">
        <v>336</v>
      </c>
      <c r="J7" s="99" t="s">
        <v>347</v>
      </c>
      <c r="K7" s="99"/>
    </row>
    <row r="8" spans="1:11" ht="13.5">
      <c r="A8" s="3" t="s">
        <v>295</v>
      </c>
      <c r="B8" s="3">
        <v>70</v>
      </c>
      <c r="C8" s="3">
        <v>80</v>
      </c>
      <c r="D8" s="3">
        <f aca="true" t="shared" si="0" ref="D8:D19">B8+C8</f>
        <v>150</v>
      </c>
      <c r="E8" s="85" t="str">
        <f aca="true" t="shared" si="1" ref="E8:E19">IF(D8&gt;=170,"A",IF(D8&gt;=120,"B",IF(D8&gt;=70,"C","D")))</f>
        <v>B</v>
      </c>
      <c r="F8" s="28" t="str">
        <f>IF(AND(B8&gt;=80,C8&gt;=80),"表彰","－")</f>
        <v>－</v>
      </c>
      <c r="G8" s="28" t="str">
        <f>IF(OR(B8&lt;30,C8&lt;30),"再テスト","－")</f>
        <v>－</v>
      </c>
      <c r="H8" s="28" t="str">
        <f>IF(E8&lt;&gt;"D","合格","不合格")</f>
        <v>合格</v>
      </c>
      <c r="J8" s="18" t="s">
        <v>342</v>
      </c>
      <c r="K8" s="18" t="s">
        <v>343</v>
      </c>
    </row>
    <row r="9" spans="1:11" ht="13.5">
      <c r="A9" s="3" t="s">
        <v>296</v>
      </c>
      <c r="B9" s="3">
        <v>70</v>
      </c>
      <c r="C9" s="3">
        <v>20</v>
      </c>
      <c r="D9" s="3">
        <f t="shared" si="0"/>
        <v>90</v>
      </c>
      <c r="E9" s="85" t="str">
        <f t="shared" si="1"/>
        <v>C</v>
      </c>
      <c r="F9" s="28" t="str">
        <f aca="true" t="shared" si="2" ref="F9:F19">IF(AND(B9&gt;=80,C9&gt;=80),"表彰","－")</f>
        <v>－</v>
      </c>
      <c r="G9" s="28" t="str">
        <f aca="true" t="shared" si="3" ref="G9:G19">IF(OR(B9&lt;30,C9&lt;30),"再テスト","－")</f>
        <v>再テスト</v>
      </c>
      <c r="H9" s="28" t="str">
        <f aca="true" t="shared" si="4" ref="H9:H19">IF(E9&lt;&gt;"D","合格","不合格")</f>
        <v>合格</v>
      </c>
      <c r="J9" s="18" t="s">
        <v>341</v>
      </c>
      <c r="K9" s="18" t="s">
        <v>344</v>
      </c>
    </row>
    <row r="10" spans="1:11" ht="13.5">
      <c r="A10" s="3" t="s">
        <v>297</v>
      </c>
      <c r="B10" s="3">
        <v>40</v>
      </c>
      <c r="C10" s="3">
        <v>40</v>
      </c>
      <c r="D10" s="3">
        <f t="shared" si="0"/>
        <v>80</v>
      </c>
      <c r="E10" s="85" t="str">
        <f t="shared" si="1"/>
        <v>C</v>
      </c>
      <c r="F10" s="28" t="str">
        <f t="shared" si="2"/>
        <v>－</v>
      </c>
      <c r="G10" s="28" t="str">
        <f t="shared" si="3"/>
        <v>－</v>
      </c>
      <c r="H10" s="28" t="str">
        <f t="shared" si="4"/>
        <v>合格</v>
      </c>
      <c r="J10" s="18" t="s">
        <v>340</v>
      </c>
      <c r="K10" s="18" t="s">
        <v>345</v>
      </c>
    </row>
    <row r="11" spans="1:15" ht="13.5">
      <c r="A11" s="3" t="s">
        <v>298</v>
      </c>
      <c r="B11" s="3">
        <v>70</v>
      </c>
      <c r="C11" s="3">
        <v>50</v>
      </c>
      <c r="D11" s="3">
        <f t="shared" si="0"/>
        <v>120</v>
      </c>
      <c r="E11" s="85" t="str">
        <f t="shared" si="1"/>
        <v>B</v>
      </c>
      <c r="F11" s="28" t="str">
        <f t="shared" si="2"/>
        <v>－</v>
      </c>
      <c r="G11" s="28" t="str">
        <f t="shared" si="3"/>
        <v>－</v>
      </c>
      <c r="H11" s="28" t="str">
        <f t="shared" si="4"/>
        <v>合格</v>
      </c>
      <c r="J11" s="73" t="s">
        <v>339</v>
      </c>
      <c r="K11" s="18" t="s">
        <v>346</v>
      </c>
      <c r="O11" t="s">
        <v>366</v>
      </c>
    </row>
    <row r="12" spans="1:16" ht="13.5">
      <c r="A12" s="3" t="s">
        <v>299</v>
      </c>
      <c r="B12" s="3">
        <v>85</v>
      </c>
      <c r="C12" s="3">
        <v>85</v>
      </c>
      <c r="D12" s="3">
        <f t="shared" si="0"/>
        <v>170</v>
      </c>
      <c r="E12" s="85" t="str">
        <f t="shared" si="1"/>
        <v>A</v>
      </c>
      <c r="F12" s="28" t="str">
        <f t="shared" si="2"/>
        <v>表彰</v>
      </c>
      <c r="G12" s="28" t="str">
        <f t="shared" si="3"/>
        <v>－</v>
      </c>
      <c r="H12" s="28" t="str">
        <f t="shared" si="4"/>
        <v>合格</v>
      </c>
      <c r="P12" t="s">
        <v>367</v>
      </c>
    </row>
    <row r="13" spans="1:8" ht="13.5">
      <c r="A13" s="3" t="s">
        <v>300</v>
      </c>
      <c r="B13" s="3">
        <v>30</v>
      </c>
      <c r="C13" s="3">
        <v>50</v>
      </c>
      <c r="D13" s="3">
        <f t="shared" si="0"/>
        <v>80</v>
      </c>
      <c r="E13" s="85" t="str">
        <f t="shared" si="1"/>
        <v>C</v>
      </c>
      <c r="F13" s="28" t="str">
        <f t="shared" si="2"/>
        <v>－</v>
      </c>
      <c r="G13" s="28" t="str">
        <f t="shared" si="3"/>
        <v>－</v>
      </c>
      <c r="H13" s="28" t="str">
        <f t="shared" si="4"/>
        <v>合格</v>
      </c>
    </row>
    <row r="14" spans="1:8" ht="13.5">
      <c r="A14" s="3" t="s">
        <v>301</v>
      </c>
      <c r="B14" s="3">
        <v>65</v>
      </c>
      <c r="C14" s="3">
        <v>35</v>
      </c>
      <c r="D14" s="3">
        <f t="shared" si="0"/>
        <v>100</v>
      </c>
      <c r="E14" s="85" t="str">
        <f t="shared" si="1"/>
        <v>C</v>
      </c>
      <c r="F14" s="28" t="str">
        <f t="shared" si="2"/>
        <v>－</v>
      </c>
      <c r="G14" s="28" t="str">
        <f t="shared" si="3"/>
        <v>－</v>
      </c>
      <c r="H14" s="28" t="str">
        <f t="shared" si="4"/>
        <v>合格</v>
      </c>
    </row>
    <row r="15" spans="1:8" ht="13.5">
      <c r="A15" s="3" t="s">
        <v>302</v>
      </c>
      <c r="B15" s="3">
        <v>80</v>
      </c>
      <c r="C15" s="3">
        <v>70</v>
      </c>
      <c r="D15" s="3">
        <f t="shared" si="0"/>
        <v>150</v>
      </c>
      <c r="E15" s="85" t="str">
        <f t="shared" si="1"/>
        <v>B</v>
      </c>
      <c r="F15" s="28" t="str">
        <f t="shared" si="2"/>
        <v>－</v>
      </c>
      <c r="G15" s="28" t="str">
        <f t="shared" si="3"/>
        <v>－</v>
      </c>
      <c r="H15" s="28" t="str">
        <f t="shared" si="4"/>
        <v>合格</v>
      </c>
    </row>
    <row r="16" spans="1:8" ht="13.5">
      <c r="A16" s="3" t="s">
        <v>303</v>
      </c>
      <c r="B16" s="3">
        <v>25</v>
      </c>
      <c r="C16" s="3">
        <v>25</v>
      </c>
      <c r="D16" s="3">
        <f t="shared" si="0"/>
        <v>50</v>
      </c>
      <c r="E16" s="85" t="str">
        <f t="shared" si="1"/>
        <v>D</v>
      </c>
      <c r="F16" s="28" t="str">
        <f t="shared" si="2"/>
        <v>－</v>
      </c>
      <c r="G16" s="28" t="str">
        <f t="shared" si="3"/>
        <v>再テスト</v>
      </c>
      <c r="H16" s="28" t="str">
        <f t="shared" si="4"/>
        <v>不合格</v>
      </c>
    </row>
    <row r="17" spans="1:8" ht="13.5">
      <c r="A17" s="3" t="s">
        <v>304</v>
      </c>
      <c r="B17" s="3">
        <v>90</v>
      </c>
      <c r="C17" s="3">
        <v>90</v>
      </c>
      <c r="D17" s="3">
        <f t="shared" si="0"/>
        <v>180</v>
      </c>
      <c r="E17" s="85" t="str">
        <f t="shared" si="1"/>
        <v>A</v>
      </c>
      <c r="F17" s="28" t="str">
        <f t="shared" si="2"/>
        <v>表彰</v>
      </c>
      <c r="G17" s="28" t="str">
        <f t="shared" si="3"/>
        <v>－</v>
      </c>
      <c r="H17" s="28" t="str">
        <f t="shared" si="4"/>
        <v>合格</v>
      </c>
    </row>
    <row r="18" spans="1:8" ht="13.5">
      <c r="A18" s="3" t="s">
        <v>305</v>
      </c>
      <c r="B18" s="3">
        <v>95</v>
      </c>
      <c r="C18" s="3">
        <v>35</v>
      </c>
      <c r="D18" s="3">
        <f t="shared" si="0"/>
        <v>130</v>
      </c>
      <c r="E18" s="85" t="str">
        <f t="shared" si="1"/>
        <v>B</v>
      </c>
      <c r="F18" s="28" t="str">
        <f t="shared" si="2"/>
        <v>－</v>
      </c>
      <c r="G18" s="28" t="str">
        <f t="shared" si="3"/>
        <v>－</v>
      </c>
      <c r="H18" s="28" t="str">
        <f t="shared" si="4"/>
        <v>合格</v>
      </c>
    </row>
    <row r="19" spans="1:8" ht="13.5">
      <c r="A19" s="3" t="s">
        <v>306</v>
      </c>
      <c r="B19" s="3">
        <v>35</v>
      </c>
      <c r="C19" s="3">
        <v>25</v>
      </c>
      <c r="D19" s="3">
        <f t="shared" si="0"/>
        <v>60</v>
      </c>
      <c r="E19" s="85" t="str">
        <f t="shared" si="1"/>
        <v>D</v>
      </c>
      <c r="F19" s="28" t="str">
        <f t="shared" si="2"/>
        <v>－</v>
      </c>
      <c r="G19" s="28" t="str">
        <f t="shared" si="3"/>
        <v>再テスト</v>
      </c>
      <c r="H19" s="28" t="str">
        <f t="shared" si="4"/>
        <v>不合格</v>
      </c>
    </row>
    <row r="25" ht="13.5">
      <c r="G25" t="s">
        <v>364</v>
      </c>
    </row>
    <row r="33" ht="13.5">
      <c r="G33" t="s">
        <v>365</v>
      </c>
    </row>
  </sheetData>
  <mergeCells count="1">
    <mergeCell ref="J7:K7"/>
  </mergeCells>
  <printOptions/>
  <pageMargins left="0.75" right="0.75" top="1" bottom="1" header="0.512" footer="0.512"/>
  <pageSetup orientation="portrait" paperSize="9"/>
  <drawing r:id="rId1"/>
</worksheet>
</file>

<file path=xl/worksheets/sheet26.xml><?xml version="1.0" encoding="utf-8"?>
<worksheet xmlns="http://schemas.openxmlformats.org/spreadsheetml/2006/main" xmlns:r="http://schemas.openxmlformats.org/officeDocument/2006/relationships">
  <dimension ref="A1:K41"/>
  <sheetViews>
    <sheetView workbookViewId="0" topLeftCell="A1">
      <selection activeCell="E11" sqref="E11"/>
    </sheetView>
  </sheetViews>
  <sheetFormatPr defaultColWidth="9.00390625" defaultRowHeight="13.5"/>
  <sheetData>
    <row r="1" ht="14.25">
      <c r="A1" s="61" t="s">
        <v>370</v>
      </c>
    </row>
    <row r="2" ht="14.25">
      <c r="A2" s="61" t="s">
        <v>368</v>
      </c>
    </row>
    <row r="3" ht="13.5">
      <c r="A3" t="s">
        <v>371</v>
      </c>
    </row>
    <row r="6" ht="13.5">
      <c r="A6" s="1" t="s">
        <v>369</v>
      </c>
    </row>
    <row r="7" spans="1:5" ht="13.5">
      <c r="A7" s="38" t="s">
        <v>292</v>
      </c>
      <c r="B7" s="38" t="s">
        <v>333</v>
      </c>
      <c r="C7" s="38" t="s">
        <v>334</v>
      </c>
      <c r="D7" s="38" t="s">
        <v>335</v>
      </c>
      <c r="E7" s="38" t="s">
        <v>336</v>
      </c>
    </row>
    <row r="8" spans="1:5" ht="13.5">
      <c r="A8" s="3" t="s">
        <v>295</v>
      </c>
      <c r="B8" s="3">
        <v>70</v>
      </c>
      <c r="C8" s="3">
        <v>80</v>
      </c>
      <c r="D8" s="3">
        <f aca="true" t="shared" si="0" ref="D8:D17">B8+C8</f>
        <v>150</v>
      </c>
      <c r="E8" s="28" t="str">
        <f aca="true" t="shared" si="1" ref="E8:E17">IF(PERCENTRANK($D$8:$D$17,D8,2)&gt;=0.5,"合格","")</f>
        <v>合格</v>
      </c>
    </row>
    <row r="9" spans="1:5" ht="13.5">
      <c r="A9" s="3" t="s">
        <v>296</v>
      </c>
      <c r="B9" s="3">
        <v>70</v>
      </c>
      <c r="C9" s="3">
        <v>20</v>
      </c>
      <c r="D9" s="3">
        <f t="shared" si="0"/>
        <v>90</v>
      </c>
      <c r="E9" s="28">
        <f t="shared" si="1"/>
      </c>
    </row>
    <row r="10" spans="1:5" ht="13.5">
      <c r="A10" s="3" t="s">
        <v>297</v>
      </c>
      <c r="B10" s="3">
        <v>40</v>
      </c>
      <c r="C10" s="3">
        <v>40</v>
      </c>
      <c r="D10" s="3">
        <f t="shared" si="0"/>
        <v>80</v>
      </c>
      <c r="E10" s="28">
        <f t="shared" si="1"/>
      </c>
    </row>
    <row r="11" spans="1:5" ht="13.5">
      <c r="A11" s="3" t="s">
        <v>298</v>
      </c>
      <c r="B11" s="3">
        <v>70</v>
      </c>
      <c r="C11" s="3">
        <v>50</v>
      </c>
      <c r="D11" s="3">
        <f t="shared" si="0"/>
        <v>120</v>
      </c>
      <c r="E11" s="28" t="str">
        <f t="shared" si="1"/>
        <v>合格</v>
      </c>
    </row>
    <row r="12" spans="1:5" ht="13.5">
      <c r="A12" s="3" t="s">
        <v>299</v>
      </c>
      <c r="B12" s="3">
        <v>85</v>
      </c>
      <c r="C12" s="3">
        <v>85</v>
      </c>
      <c r="D12" s="3">
        <f t="shared" si="0"/>
        <v>170</v>
      </c>
      <c r="E12" s="28" t="str">
        <f t="shared" si="1"/>
        <v>合格</v>
      </c>
    </row>
    <row r="13" spans="1:5" ht="13.5">
      <c r="A13" s="3" t="s">
        <v>300</v>
      </c>
      <c r="B13" s="3">
        <v>30</v>
      </c>
      <c r="C13" s="3">
        <v>50</v>
      </c>
      <c r="D13" s="3">
        <f t="shared" si="0"/>
        <v>80</v>
      </c>
      <c r="E13" s="28">
        <f t="shared" si="1"/>
      </c>
    </row>
    <row r="14" spans="1:5" ht="13.5">
      <c r="A14" s="3" t="s">
        <v>301</v>
      </c>
      <c r="B14" s="3">
        <v>65</v>
      </c>
      <c r="C14" s="3">
        <v>35</v>
      </c>
      <c r="D14" s="3">
        <f t="shared" si="0"/>
        <v>100</v>
      </c>
      <c r="E14" s="28">
        <f t="shared" si="1"/>
      </c>
    </row>
    <row r="15" spans="1:5" ht="13.5">
      <c r="A15" s="3" t="s">
        <v>302</v>
      </c>
      <c r="B15" s="3">
        <v>80</v>
      </c>
      <c r="C15" s="3">
        <v>70</v>
      </c>
      <c r="D15" s="3">
        <f t="shared" si="0"/>
        <v>150</v>
      </c>
      <c r="E15" s="28" t="str">
        <f t="shared" si="1"/>
        <v>合格</v>
      </c>
    </row>
    <row r="16" spans="1:5" ht="13.5">
      <c r="A16" s="3" t="s">
        <v>303</v>
      </c>
      <c r="B16" s="3">
        <v>25</v>
      </c>
      <c r="C16" s="3">
        <v>25</v>
      </c>
      <c r="D16" s="3">
        <f t="shared" si="0"/>
        <v>50</v>
      </c>
      <c r="E16" s="28">
        <f t="shared" si="1"/>
      </c>
    </row>
    <row r="17" spans="1:5" ht="13.5">
      <c r="A17" s="3" t="s">
        <v>304</v>
      </c>
      <c r="B17" s="3">
        <v>90</v>
      </c>
      <c r="C17" s="3">
        <v>90</v>
      </c>
      <c r="D17" s="3">
        <f t="shared" si="0"/>
        <v>180</v>
      </c>
      <c r="E17" s="28" t="str">
        <f t="shared" si="1"/>
        <v>合格</v>
      </c>
    </row>
    <row r="37" ht="13.5">
      <c r="G37" t="s">
        <v>372</v>
      </c>
    </row>
    <row r="38" ht="13.5">
      <c r="G38" t="s">
        <v>373</v>
      </c>
    </row>
    <row r="39" ht="13.5">
      <c r="G39" t="s">
        <v>374</v>
      </c>
    </row>
    <row r="41" ht="13.5">
      <c r="K41" t="s">
        <v>375</v>
      </c>
    </row>
  </sheetData>
  <printOptions/>
  <pageMargins left="0.75" right="0.75" top="1" bottom="1" header="0.512" footer="0.512"/>
  <pageSetup orientation="portrait" paperSize="9" r:id="rId2"/>
  <drawing r:id="rId1"/>
</worksheet>
</file>

<file path=xl/worksheets/sheet27.xml><?xml version="1.0" encoding="utf-8"?>
<worksheet xmlns="http://schemas.openxmlformats.org/spreadsheetml/2006/main" xmlns:r="http://schemas.openxmlformats.org/officeDocument/2006/relationships">
  <dimension ref="A1:I37"/>
  <sheetViews>
    <sheetView workbookViewId="0" topLeftCell="A1">
      <selection activeCell="D9" sqref="D9"/>
    </sheetView>
  </sheetViews>
  <sheetFormatPr defaultColWidth="9.00390625" defaultRowHeight="13.5"/>
  <cols>
    <col min="2" max="2" width="10.50390625" style="0" customWidth="1"/>
    <col min="5" max="5" width="2.50390625" style="0" customWidth="1"/>
    <col min="7" max="7" width="10.375" style="0" customWidth="1"/>
    <col min="10" max="10" width="2.50390625" style="0" customWidth="1"/>
  </cols>
  <sheetData>
    <row r="1" ht="14.25">
      <c r="A1" s="61" t="s">
        <v>376</v>
      </c>
    </row>
    <row r="2" ht="14.25">
      <c r="A2" s="61" t="s">
        <v>377</v>
      </c>
    </row>
    <row r="3" ht="13.5">
      <c r="C3" t="s">
        <v>398</v>
      </c>
    </row>
    <row r="4" ht="13.5">
      <c r="C4" s="87" t="s">
        <v>399</v>
      </c>
    </row>
    <row r="5" spans="1:6" ht="13.5">
      <c r="A5" s="1" t="s">
        <v>378</v>
      </c>
      <c r="F5" t="s">
        <v>379</v>
      </c>
    </row>
    <row r="6" spans="1:9" ht="13.5">
      <c r="A6" s="38" t="s">
        <v>380</v>
      </c>
      <c r="B6" s="38" t="s">
        <v>381</v>
      </c>
      <c r="C6" s="38" t="s">
        <v>382</v>
      </c>
      <c r="D6" s="38" t="s">
        <v>383</v>
      </c>
      <c r="F6" s="13" t="s">
        <v>380</v>
      </c>
      <c r="G6" s="13" t="s">
        <v>381</v>
      </c>
      <c r="H6" s="13" t="s">
        <v>382</v>
      </c>
      <c r="I6" s="13" t="s">
        <v>383</v>
      </c>
    </row>
    <row r="7" spans="1:9" ht="13.5">
      <c r="A7" s="3">
        <v>1</v>
      </c>
      <c r="B7" s="3" t="s">
        <v>384</v>
      </c>
      <c r="C7" s="28">
        <f aca="true" ca="1" t="shared" si="0" ref="C7:C18">RAND()</f>
        <v>0.15324493804307604</v>
      </c>
      <c r="D7" s="85">
        <f>IF(RANK(C7,$C$7:$C$18)&lt;=3,"○","")</f>
      </c>
      <c r="F7" s="3">
        <v>1</v>
      </c>
      <c r="G7" s="3" t="s">
        <v>384</v>
      </c>
      <c r="H7" s="74">
        <v>0.6340411017225884</v>
      </c>
      <c r="I7" s="74" t="s">
        <v>385</v>
      </c>
    </row>
    <row r="8" spans="1:9" ht="13.5">
      <c r="A8" s="3">
        <v>2</v>
      </c>
      <c r="B8" s="3" t="s">
        <v>386</v>
      </c>
      <c r="C8" s="28">
        <f ca="1" t="shared" si="0"/>
        <v>0.22986352104978836</v>
      </c>
      <c r="D8" s="85">
        <f aca="true" t="shared" si="1" ref="D8:D18">IF(RANK(C8,$C$7:$C$18)&lt;=3,"○","")</f>
      </c>
      <c r="F8" s="3">
        <v>2</v>
      </c>
      <c r="G8" s="3" t="s">
        <v>386</v>
      </c>
      <c r="H8" s="74">
        <v>0.9705144806131476</v>
      </c>
      <c r="I8" s="74" t="s">
        <v>387</v>
      </c>
    </row>
    <row r="9" spans="1:9" ht="13.5">
      <c r="A9" s="3">
        <v>3</v>
      </c>
      <c r="B9" s="3" t="s">
        <v>388</v>
      </c>
      <c r="C9" s="28">
        <f ca="1" t="shared" si="0"/>
        <v>0.7009672299714365</v>
      </c>
      <c r="D9" s="85" t="str">
        <f t="shared" si="1"/>
        <v>○</v>
      </c>
      <c r="F9" s="3">
        <v>3</v>
      </c>
      <c r="G9" s="3" t="s">
        <v>388</v>
      </c>
      <c r="H9" s="74">
        <v>0.12898701754096464</v>
      </c>
      <c r="I9" s="74" t="s">
        <v>385</v>
      </c>
    </row>
    <row r="10" spans="1:9" ht="13.5">
      <c r="A10" s="3">
        <v>4</v>
      </c>
      <c r="B10" s="3" t="s">
        <v>389</v>
      </c>
      <c r="C10" s="28">
        <f ca="1" t="shared" si="0"/>
        <v>0.41049254947743696</v>
      </c>
      <c r="D10" s="85">
        <f t="shared" si="1"/>
      </c>
      <c r="F10" s="3">
        <v>4</v>
      </c>
      <c r="G10" s="3" t="s">
        <v>389</v>
      </c>
      <c r="H10" s="74">
        <v>0.9928262698137644</v>
      </c>
      <c r="I10" s="74" t="s">
        <v>387</v>
      </c>
    </row>
    <row r="11" spans="1:9" ht="13.5">
      <c r="A11" s="3">
        <v>5</v>
      </c>
      <c r="B11" s="3" t="s">
        <v>390</v>
      </c>
      <c r="C11" s="28">
        <f ca="1" t="shared" si="0"/>
        <v>0.6586554179084156</v>
      </c>
      <c r="D11" s="85" t="str">
        <f t="shared" si="1"/>
        <v>○</v>
      </c>
      <c r="F11" s="3">
        <v>5</v>
      </c>
      <c r="G11" s="3" t="s">
        <v>390</v>
      </c>
      <c r="H11" s="74">
        <v>0.758122840980449</v>
      </c>
      <c r="I11" s="74" t="s">
        <v>385</v>
      </c>
    </row>
    <row r="12" spans="1:9" ht="13.5">
      <c r="A12" s="3">
        <v>6</v>
      </c>
      <c r="B12" s="3" t="s">
        <v>391</v>
      </c>
      <c r="C12" s="28">
        <f ca="1" t="shared" si="0"/>
        <v>0.8661862785500132</v>
      </c>
      <c r="D12" s="85" t="str">
        <f t="shared" si="1"/>
        <v>○</v>
      </c>
      <c r="F12" s="3">
        <v>6</v>
      </c>
      <c r="G12" s="3" t="s">
        <v>391</v>
      </c>
      <c r="H12" s="74">
        <v>0.7357482689898234</v>
      </c>
      <c r="I12" s="74" t="s">
        <v>385</v>
      </c>
    </row>
    <row r="13" spans="1:9" ht="13.5">
      <c r="A13" s="3">
        <v>7</v>
      </c>
      <c r="B13" s="3" t="s">
        <v>392</v>
      </c>
      <c r="C13" s="28">
        <f ca="1" t="shared" si="0"/>
        <v>0.026768639679419337</v>
      </c>
      <c r="D13" s="85">
        <f t="shared" si="1"/>
      </c>
      <c r="F13" s="3">
        <v>7</v>
      </c>
      <c r="G13" s="3" t="s">
        <v>392</v>
      </c>
      <c r="H13" s="74">
        <v>0.9950767490553458</v>
      </c>
      <c r="I13" s="74" t="s">
        <v>387</v>
      </c>
    </row>
    <row r="14" spans="1:9" ht="13.5">
      <c r="A14" s="3">
        <v>8</v>
      </c>
      <c r="B14" s="3" t="s">
        <v>393</v>
      </c>
      <c r="C14" s="28">
        <f ca="1" t="shared" si="0"/>
        <v>0.1061372915773095</v>
      </c>
      <c r="D14" s="85">
        <f t="shared" si="1"/>
      </c>
      <c r="F14" s="3">
        <v>8</v>
      </c>
      <c r="G14" s="3" t="s">
        <v>393</v>
      </c>
      <c r="H14" s="74">
        <v>0.8600794725513143</v>
      </c>
      <c r="I14" s="74" t="s">
        <v>387</v>
      </c>
    </row>
    <row r="15" spans="1:9" ht="13.5">
      <c r="A15" s="3">
        <v>9</v>
      </c>
      <c r="B15" s="3" t="s">
        <v>394</v>
      </c>
      <c r="C15" s="28">
        <f ca="1" t="shared" si="0"/>
        <v>0.5856675807566043</v>
      </c>
      <c r="D15" s="85">
        <f t="shared" si="1"/>
      </c>
      <c r="F15" s="3">
        <v>9</v>
      </c>
      <c r="G15" s="3" t="s">
        <v>394</v>
      </c>
      <c r="H15" s="74">
        <v>0.0518269264581237</v>
      </c>
      <c r="I15" s="74" t="s">
        <v>385</v>
      </c>
    </row>
    <row r="16" spans="1:9" ht="13.5">
      <c r="A16" s="3">
        <v>10</v>
      </c>
      <c r="B16" s="3" t="s">
        <v>395</v>
      </c>
      <c r="C16" s="28">
        <f ca="1" t="shared" si="0"/>
        <v>0.05263761061083194</v>
      </c>
      <c r="D16" s="85">
        <f t="shared" si="1"/>
      </c>
      <c r="F16" s="3">
        <v>10</v>
      </c>
      <c r="G16" s="3" t="s">
        <v>395</v>
      </c>
      <c r="H16" s="74">
        <v>0.20357174523286775</v>
      </c>
      <c r="I16" s="74" t="s">
        <v>385</v>
      </c>
    </row>
    <row r="17" spans="1:9" ht="13.5">
      <c r="A17" s="3">
        <v>11</v>
      </c>
      <c r="B17" s="3" t="s">
        <v>396</v>
      </c>
      <c r="C17" s="28">
        <f ca="1" t="shared" si="0"/>
        <v>0.16530080898050165</v>
      </c>
      <c r="D17" s="85">
        <f t="shared" si="1"/>
      </c>
      <c r="F17" s="3">
        <v>11</v>
      </c>
      <c r="G17" s="3" t="s">
        <v>396</v>
      </c>
      <c r="H17" s="74">
        <v>0.48943693199418514</v>
      </c>
      <c r="I17" s="74" t="s">
        <v>385</v>
      </c>
    </row>
    <row r="18" spans="1:9" ht="13.5">
      <c r="A18" s="3">
        <v>12</v>
      </c>
      <c r="B18" s="3" t="s">
        <v>397</v>
      </c>
      <c r="C18" s="28">
        <f ca="1" t="shared" si="0"/>
        <v>0.6305719975066617</v>
      </c>
      <c r="D18" s="85">
        <f t="shared" si="1"/>
      </c>
      <c r="F18" s="3">
        <v>12</v>
      </c>
      <c r="G18" s="3" t="s">
        <v>397</v>
      </c>
      <c r="H18" s="74">
        <v>0.9714361148922857</v>
      </c>
      <c r="I18" s="74" t="s">
        <v>387</v>
      </c>
    </row>
    <row r="20" spans="2:7" ht="14.25">
      <c r="B20" t="s">
        <v>400</v>
      </c>
      <c r="G20" s="88" t="s">
        <v>409</v>
      </c>
    </row>
    <row r="21" ht="13.5">
      <c r="G21" s="87" t="s">
        <v>403</v>
      </c>
    </row>
    <row r="22" ht="13.5">
      <c r="G22" s="87" t="s">
        <v>404</v>
      </c>
    </row>
    <row r="23" ht="13.5">
      <c r="G23" s="87" t="s">
        <v>405</v>
      </c>
    </row>
    <row r="25" ht="13.5">
      <c r="G25" t="s">
        <v>406</v>
      </c>
    </row>
    <row r="26" ht="13.5">
      <c r="G26" t="s">
        <v>407</v>
      </c>
    </row>
    <row r="27" ht="13.5">
      <c r="G27" t="s">
        <v>408</v>
      </c>
    </row>
    <row r="32" ht="13.5">
      <c r="F32">
        <f>IF(RANK(C18,$C$7:$C$18)&lt;=3,"○","")</f>
      </c>
    </row>
    <row r="35" ht="13.5">
      <c r="I35" s="1" t="s">
        <v>401</v>
      </c>
    </row>
    <row r="37" ht="13.5">
      <c r="I37" t="s">
        <v>402</v>
      </c>
    </row>
  </sheetData>
  <printOptions/>
  <pageMargins left="0.75" right="0.75" top="1" bottom="1" header="0.512" footer="0.512"/>
  <pageSetup orientation="portrait" paperSize="9" r:id="rId2"/>
  <drawing r:id="rId1"/>
</worksheet>
</file>

<file path=xl/worksheets/sheet28.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00390625" defaultRowHeight="13.5"/>
  <sheetData>
    <row r="1" ht="14.25">
      <c r="A1" s="61" t="s">
        <v>410</v>
      </c>
    </row>
    <row r="2" ht="14.25">
      <c r="A2" s="61" t="s">
        <v>425</v>
      </c>
    </row>
    <row r="3" ht="14.25">
      <c r="A3" s="61" t="s">
        <v>426</v>
      </c>
    </row>
    <row r="4" ht="14.25">
      <c r="A4" s="61" t="s">
        <v>427</v>
      </c>
    </row>
    <row r="5" ht="14.25">
      <c r="A5" s="61" t="s">
        <v>428</v>
      </c>
    </row>
    <row r="6" spans="1:5" ht="14.25">
      <c r="A6" s="61"/>
      <c r="E6" t="s">
        <v>422</v>
      </c>
    </row>
    <row r="7" spans="1:5" ht="14.25">
      <c r="A7" s="61"/>
      <c r="E7" t="s">
        <v>423</v>
      </c>
    </row>
    <row r="8" ht="13.5">
      <c r="E8" t="s">
        <v>424</v>
      </c>
    </row>
    <row r="9" ht="13.5">
      <c r="A9" s="1" t="s">
        <v>411</v>
      </c>
    </row>
    <row r="10" spans="1:5" ht="13.5">
      <c r="A10" s="89" t="s">
        <v>412</v>
      </c>
      <c r="B10" s="89" t="s">
        <v>413</v>
      </c>
      <c r="C10" s="89" t="s">
        <v>414</v>
      </c>
      <c r="D10" s="89" t="s">
        <v>415</v>
      </c>
      <c r="E10" s="89" t="s">
        <v>415</v>
      </c>
    </row>
    <row r="11" spans="1:5" ht="13.5">
      <c r="A11" s="90" t="s">
        <v>416</v>
      </c>
      <c r="B11" s="91">
        <v>235874</v>
      </c>
      <c r="C11" s="91">
        <v>189754</v>
      </c>
      <c r="D11" s="93">
        <f>C11/B11</f>
        <v>0.8044718790540712</v>
      </c>
      <c r="E11" s="94">
        <f>IF(ISERROR(C11/B11),"・・・",C11/B11)</f>
        <v>0.8044718790540712</v>
      </c>
    </row>
    <row r="12" spans="1:5" ht="13.5">
      <c r="A12" s="90" t="s">
        <v>417</v>
      </c>
      <c r="B12" s="91">
        <v>336585</v>
      </c>
      <c r="C12" s="92" t="s">
        <v>418</v>
      </c>
      <c r="D12" s="93" t="e">
        <f>C12/B12</f>
        <v>#VALUE!</v>
      </c>
      <c r="E12" s="94" t="str">
        <f>IF(ISERROR(C12/B12),"・・・",C12/B12)</f>
        <v>・・・</v>
      </c>
    </row>
    <row r="13" spans="1:5" ht="13.5">
      <c r="A13" s="90" t="s">
        <v>419</v>
      </c>
      <c r="B13" s="91">
        <v>0</v>
      </c>
      <c r="C13" s="91">
        <v>257884</v>
      </c>
      <c r="D13" s="93" t="e">
        <f>C13/B13</f>
        <v>#DIV/0!</v>
      </c>
      <c r="E13" s="94" t="str">
        <f>IF(ISERROR(C13/B13),"・・・",C13/B13)</f>
        <v>・・・</v>
      </c>
    </row>
    <row r="14" spans="1:5" ht="13.5">
      <c r="A14" s="90" t="s">
        <v>420</v>
      </c>
      <c r="B14" s="91">
        <v>125147</v>
      </c>
      <c r="C14" s="91">
        <v>165473</v>
      </c>
      <c r="D14" s="93">
        <f>C14/B14</f>
        <v>1.3222290586270546</v>
      </c>
      <c r="E14" s="94">
        <f>IF(ISERROR(C14/B14),"・・・",C14/B14)</f>
        <v>1.3222290586270546</v>
      </c>
    </row>
    <row r="15" spans="1:5" ht="13.5">
      <c r="A15" s="90" t="s">
        <v>421</v>
      </c>
      <c r="B15" s="91">
        <v>289742</v>
      </c>
      <c r="C15" s="92" t="s">
        <v>418</v>
      </c>
      <c r="D15" s="93" t="e">
        <f>_xlfn.IFERROR(C15/B15,"---")</f>
        <v>#NAME?</v>
      </c>
      <c r="E15" s="94" t="str">
        <f>IF(ISERROR(C15/B15),"・・・",C15/B15)</f>
        <v>・・・</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F35"/>
  <sheetViews>
    <sheetView workbookViewId="0" topLeftCell="A1">
      <selection activeCell="D27" sqref="D27"/>
    </sheetView>
  </sheetViews>
  <sheetFormatPr defaultColWidth="9.00390625" defaultRowHeight="13.5"/>
  <cols>
    <col min="2" max="2" width="10.25390625" style="0" bestFit="1" customWidth="1"/>
  </cols>
  <sheetData>
    <row r="1" ht="13.5">
      <c r="A1" s="1" t="s">
        <v>65</v>
      </c>
    </row>
    <row r="2" ht="13.5">
      <c r="C2" t="s">
        <v>66</v>
      </c>
    </row>
    <row r="3" spans="1:4" ht="13.5">
      <c r="A3" t="s">
        <v>50</v>
      </c>
      <c r="D3" t="s">
        <v>67</v>
      </c>
    </row>
    <row r="4" spans="1:5" ht="13.5">
      <c r="A4" s="3" t="s">
        <v>2</v>
      </c>
      <c r="B4" s="3" t="s">
        <v>5</v>
      </c>
      <c r="D4" s="3">
        <v>2</v>
      </c>
      <c r="E4" t="s">
        <v>51</v>
      </c>
    </row>
    <row r="5" spans="1:5" ht="13.5">
      <c r="A5" s="3" t="s">
        <v>52</v>
      </c>
      <c r="B5" s="4">
        <v>1254000</v>
      </c>
      <c r="D5" s="3">
        <v>4</v>
      </c>
      <c r="E5" t="s">
        <v>53</v>
      </c>
    </row>
    <row r="6" spans="1:2" ht="13.5">
      <c r="A6" s="3" t="s">
        <v>54</v>
      </c>
      <c r="B6" s="4">
        <v>1895500</v>
      </c>
    </row>
    <row r="7" spans="1:5" ht="13.5">
      <c r="A7" s="3" t="s">
        <v>55</v>
      </c>
      <c r="B7" s="4">
        <v>1655300</v>
      </c>
      <c r="D7" s="3" t="s">
        <v>56</v>
      </c>
      <c r="E7" t="s">
        <v>68</v>
      </c>
    </row>
    <row r="8" spans="1:5" ht="13.5">
      <c r="A8" s="3" t="s">
        <v>57</v>
      </c>
      <c r="B8" s="4">
        <v>1958000</v>
      </c>
      <c r="D8" s="21">
        <f ca="1">SUM(OFFSET(A3,D4+1,1,D5-D4+1,1))</f>
        <v>5508800</v>
      </c>
      <c r="E8" t="s">
        <v>69</v>
      </c>
    </row>
    <row r="9" spans="1:5" ht="13.5">
      <c r="A9" s="3" t="s">
        <v>58</v>
      </c>
      <c r="B9" s="4">
        <v>1745600</v>
      </c>
      <c r="E9" t="s">
        <v>70</v>
      </c>
    </row>
    <row r="10" spans="1:5" ht="13.5">
      <c r="A10" s="3" t="s">
        <v>59</v>
      </c>
      <c r="B10" s="4">
        <v>1500000</v>
      </c>
      <c r="E10" t="s">
        <v>71</v>
      </c>
    </row>
    <row r="11" spans="1:5" ht="13.5">
      <c r="A11" s="3" t="s">
        <v>60</v>
      </c>
      <c r="B11" s="4">
        <v>1345000</v>
      </c>
      <c r="E11" t="s">
        <v>72</v>
      </c>
    </row>
    <row r="12" spans="1:5" ht="13.5">
      <c r="A12" s="3" t="s">
        <v>61</v>
      </c>
      <c r="B12" s="4">
        <v>1080000</v>
      </c>
      <c r="E12" t="s">
        <v>73</v>
      </c>
    </row>
    <row r="13" spans="1:2" ht="13.5">
      <c r="A13" s="3" t="s">
        <v>62</v>
      </c>
      <c r="B13" s="4">
        <v>1456000</v>
      </c>
    </row>
    <row r="14" spans="1:5" ht="13.5">
      <c r="A14" s="3" t="s">
        <v>63</v>
      </c>
      <c r="B14" s="4">
        <v>1567800</v>
      </c>
      <c r="D14" s="21">
        <f ca="1">SUM(OFFSET(B4,D4,0,D5-D4+1,1))</f>
        <v>5508800</v>
      </c>
      <c r="E14" t="s">
        <v>74</v>
      </c>
    </row>
    <row r="15" spans="1:2" ht="13.5">
      <c r="A15" s="3" t="s">
        <v>64</v>
      </c>
      <c r="B15" s="4">
        <v>1895400</v>
      </c>
    </row>
    <row r="17" ht="13.5">
      <c r="A17" s="15" t="s">
        <v>183</v>
      </c>
    </row>
    <row r="18" ht="13.5">
      <c r="A18" s="15" t="s">
        <v>182</v>
      </c>
    </row>
    <row r="19" spans="1:2" ht="13.5">
      <c r="A19" s="22"/>
      <c r="B19" s="22"/>
    </row>
    <row r="20" spans="1:2" ht="13.5">
      <c r="A20" s="22"/>
      <c r="B20" s="22"/>
    </row>
    <row r="21" spans="1:2" ht="13.5">
      <c r="A21" s="23"/>
      <c r="B21" s="24"/>
    </row>
    <row r="22" spans="1:2" ht="13.5">
      <c r="A22" s="23"/>
      <c r="B22" s="24"/>
    </row>
    <row r="23" spans="1:2" ht="13.5">
      <c r="A23" s="23"/>
      <c r="B23" s="24"/>
    </row>
    <row r="24" spans="1:2" ht="13.5">
      <c r="A24" s="23"/>
      <c r="B24" s="24"/>
    </row>
    <row r="25" spans="1:2" ht="13.5">
      <c r="A25" s="23"/>
      <c r="B25" s="24"/>
    </row>
    <row r="26" spans="1:2" ht="13.5">
      <c r="A26" s="23"/>
      <c r="B26" s="24"/>
    </row>
    <row r="27" spans="1:2" ht="13.5">
      <c r="A27" s="23"/>
      <c r="B27" s="24"/>
    </row>
    <row r="28" spans="1:2" ht="13.5">
      <c r="A28" s="23"/>
      <c r="B28" s="24"/>
    </row>
    <row r="29" spans="1:2" ht="13.5">
      <c r="A29" s="23"/>
      <c r="B29" s="24"/>
    </row>
    <row r="30" spans="1:2" ht="13.5">
      <c r="A30" s="23"/>
      <c r="B30" s="24"/>
    </row>
    <row r="31" spans="1:2" ht="13.5">
      <c r="A31" s="23"/>
      <c r="B31" s="24"/>
    </row>
    <row r="32" spans="4:5" ht="13.5">
      <c r="D32" s="22"/>
      <c r="E32" s="22"/>
    </row>
    <row r="33" spans="4:5" ht="13.5">
      <c r="D33" s="22"/>
      <c r="E33" s="22"/>
    </row>
    <row r="34" spans="3:6" ht="13.5">
      <c r="C34" s="22"/>
      <c r="E34" s="22"/>
      <c r="F34" s="22"/>
    </row>
    <row r="35" spans="3:6" ht="13.5">
      <c r="C35" s="22"/>
      <c r="E35" s="22"/>
      <c r="F35" s="22"/>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F16"/>
  <sheetViews>
    <sheetView workbookViewId="0" topLeftCell="A1">
      <selection activeCell="J21" sqref="J21"/>
    </sheetView>
  </sheetViews>
  <sheetFormatPr defaultColWidth="9.00390625" defaultRowHeight="13.5"/>
  <sheetData>
    <row r="1" ht="13.5">
      <c r="B1" s="1" t="s">
        <v>91</v>
      </c>
    </row>
    <row r="2" spans="1:2" ht="13.5">
      <c r="A2" s="1"/>
      <c r="B2" s="1" t="s">
        <v>92</v>
      </c>
    </row>
    <row r="3" spans="1:2" ht="13.5">
      <c r="A3" s="1"/>
      <c r="B3" s="1"/>
    </row>
    <row r="4" spans="1:6" ht="13.5">
      <c r="A4" s="1" t="s">
        <v>75</v>
      </c>
      <c r="B4" s="1"/>
      <c r="F4" t="s">
        <v>95</v>
      </c>
    </row>
    <row r="5" spans="1:6" ht="13.5">
      <c r="A5" s="3" t="s">
        <v>2</v>
      </c>
      <c r="B5" s="3" t="s">
        <v>76</v>
      </c>
      <c r="C5" s="3" t="s">
        <v>77</v>
      </c>
      <c r="D5" s="3" t="s">
        <v>78</v>
      </c>
      <c r="F5" t="s">
        <v>96</v>
      </c>
    </row>
    <row r="6" spans="1:6" ht="13.5">
      <c r="A6" s="3" t="s">
        <v>79</v>
      </c>
      <c r="B6" s="3" t="s">
        <v>80</v>
      </c>
      <c r="C6" s="3" t="s">
        <v>81</v>
      </c>
      <c r="D6" s="3">
        <v>15</v>
      </c>
      <c r="E6" s="13">
        <f>IF(MOD(ROW(),2)=0,D6,"")</f>
        <v>15</v>
      </c>
      <c r="F6" s="13">
        <f>IF(MOD(ROW(),2)=1,D6,"")</f>
      </c>
    </row>
    <row r="7" spans="1:6" ht="13.5">
      <c r="A7" s="3"/>
      <c r="B7" s="3" t="s">
        <v>82</v>
      </c>
      <c r="C7" s="3" t="s">
        <v>83</v>
      </c>
      <c r="D7" s="3">
        <v>22</v>
      </c>
      <c r="E7" s="13">
        <f aca="true" t="shared" si="0" ref="E7:E13">IF(MOD(ROW(),2)=0,D7,"")</f>
      </c>
      <c r="F7" s="13">
        <f aca="true" t="shared" si="1" ref="F7:F13">IF(MOD(ROW(),2)=1,D7,"")</f>
        <v>22</v>
      </c>
    </row>
    <row r="8" spans="1:6" ht="13.5">
      <c r="A8" s="3" t="s">
        <v>84</v>
      </c>
      <c r="B8" s="3" t="s">
        <v>80</v>
      </c>
      <c r="C8" s="3" t="s">
        <v>83</v>
      </c>
      <c r="D8" s="3">
        <v>21</v>
      </c>
      <c r="E8" s="13">
        <f t="shared" si="0"/>
        <v>21</v>
      </c>
      <c r="F8" s="13">
        <f t="shared" si="1"/>
      </c>
    </row>
    <row r="9" spans="1:6" ht="13.5">
      <c r="A9" s="3"/>
      <c r="B9" s="3" t="s">
        <v>82</v>
      </c>
      <c r="C9" s="3" t="s">
        <v>85</v>
      </c>
      <c r="D9" s="3">
        <v>33</v>
      </c>
      <c r="E9" s="13">
        <f t="shared" si="0"/>
      </c>
      <c r="F9" s="13">
        <f t="shared" si="1"/>
        <v>33</v>
      </c>
    </row>
    <row r="10" spans="1:6" ht="13.5">
      <c r="A10" s="3" t="s">
        <v>86</v>
      </c>
      <c r="B10" s="3" t="s">
        <v>80</v>
      </c>
      <c r="C10" s="3" t="s">
        <v>81</v>
      </c>
      <c r="D10" s="3">
        <v>18</v>
      </c>
      <c r="E10" s="13">
        <f t="shared" si="0"/>
        <v>18</v>
      </c>
      <c r="F10" s="13">
        <f t="shared" si="1"/>
      </c>
    </row>
    <row r="11" spans="1:6" ht="13.5">
      <c r="A11" s="3"/>
      <c r="B11" s="3" t="s">
        <v>82</v>
      </c>
      <c r="C11" s="3" t="s">
        <v>87</v>
      </c>
      <c r="D11" s="3">
        <v>24</v>
      </c>
      <c r="E11" s="13">
        <f t="shared" si="0"/>
      </c>
      <c r="F11" s="13">
        <f t="shared" si="1"/>
        <v>24</v>
      </c>
    </row>
    <row r="12" spans="1:6" ht="13.5">
      <c r="A12" s="3" t="s">
        <v>88</v>
      </c>
      <c r="B12" s="3" t="s">
        <v>80</v>
      </c>
      <c r="C12" s="3" t="s">
        <v>81</v>
      </c>
      <c r="D12" s="3">
        <v>11</v>
      </c>
      <c r="E12" s="13">
        <f t="shared" si="0"/>
        <v>11</v>
      </c>
      <c r="F12" s="13">
        <f t="shared" si="1"/>
      </c>
    </row>
    <row r="13" spans="1:6" ht="13.5">
      <c r="A13" s="3"/>
      <c r="B13" s="3" t="s">
        <v>82</v>
      </c>
      <c r="C13" s="3" t="s">
        <v>83</v>
      </c>
      <c r="D13" s="3">
        <v>15</v>
      </c>
      <c r="E13" s="13">
        <f t="shared" si="0"/>
      </c>
      <c r="F13" s="13">
        <f t="shared" si="1"/>
        <v>15</v>
      </c>
    </row>
    <row r="15" spans="2:5" ht="13.5">
      <c r="B15" s="95" t="s">
        <v>89</v>
      </c>
      <c r="C15" s="95"/>
      <c r="D15" s="13">
        <f>SUM(E6:E13)</f>
        <v>65</v>
      </c>
      <c r="E15" t="s">
        <v>93</v>
      </c>
    </row>
    <row r="16" spans="2:5" ht="13.5">
      <c r="B16" s="95" t="s">
        <v>90</v>
      </c>
      <c r="C16" s="95"/>
      <c r="D16" s="13">
        <f>SUM(F6:F13)</f>
        <v>94</v>
      </c>
      <c r="E16" t="s">
        <v>94</v>
      </c>
    </row>
  </sheetData>
  <mergeCells count="2">
    <mergeCell ref="B15:C15"/>
    <mergeCell ref="B16:C1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workbookViewId="0" topLeftCell="A1">
      <selection activeCell="G16" sqref="G16"/>
    </sheetView>
  </sheetViews>
  <sheetFormatPr defaultColWidth="9.00390625" defaultRowHeight="13.5"/>
  <cols>
    <col min="4" max="4" width="10.25390625" style="0" bestFit="1" customWidth="1"/>
  </cols>
  <sheetData>
    <row r="1" ht="13.5">
      <c r="A1" s="1" t="s">
        <v>106</v>
      </c>
    </row>
    <row r="2" ht="13.5">
      <c r="C2" t="s">
        <v>107</v>
      </c>
    </row>
    <row r="3" ht="13.5">
      <c r="C3" t="s">
        <v>108</v>
      </c>
    </row>
    <row r="5" ht="13.5">
      <c r="A5" s="1" t="s">
        <v>97</v>
      </c>
    </row>
    <row r="6" ht="13.5">
      <c r="A6" s="1" t="s">
        <v>98</v>
      </c>
    </row>
    <row r="7" spans="1:4" ht="13.5">
      <c r="A7" s="26"/>
      <c r="B7" s="26" t="s">
        <v>99</v>
      </c>
      <c r="C7" s="26" t="s">
        <v>100</v>
      </c>
      <c r="D7" s="26" t="s">
        <v>101</v>
      </c>
    </row>
    <row r="8" spans="1:5" ht="13.5">
      <c r="A8" s="27" t="s">
        <v>102</v>
      </c>
      <c r="B8" s="4">
        <v>15000</v>
      </c>
      <c r="C8" s="4">
        <v>18000</v>
      </c>
      <c r="D8" s="4">
        <v>21000</v>
      </c>
      <c r="E8" t="s">
        <v>111</v>
      </c>
    </row>
    <row r="9" spans="1:5" ht="13.5">
      <c r="A9" s="27" t="s">
        <v>103</v>
      </c>
      <c r="B9" s="4">
        <v>18000</v>
      </c>
      <c r="C9" s="4">
        <v>20000</v>
      </c>
      <c r="D9" s="4">
        <v>25000</v>
      </c>
      <c r="E9" t="s">
        <v>110</v>
      </c>
    </row>
    <row r="10" spans="1:5" ht="13.5">
      <c r="A10" s="27" t="s">
        <v>104</v>
      </c>
      <c r="B10" s="4">
        <v>21000</v>
      </c>
      <c r="C10" s="4">
        <v>22000</v>
      </c>
      <c r="D10" s="4">
        <v>30000</v>
      </c>
      <c r="E10" t="s">
        <v>109</v>
      </c>
    </row>
    <row r="12" ht="13.5">
      <c r="A12" s="1" t="s">
        <v>105</v>
      </c>
    </row>
    <row r="13" spans="1:4" ht="13.5">
      <c r="A13" s="26"/>
      <c r="B13" s="26" t="s">
        <v>99</v>
      </c>
      <c r="C13" s="26" t="s">
        <v>100</v>
      </c>
      <c r="D13" s="26" t="s">
        <v>101</v>
      </c>
    </row>
    <row r="14" spans="1:4" ht="13.5">
      <c r="A14" s="27" t="s">
        <v>102</v>
      </c>
      <c r="B14" s="3">
        <v>30</v>
      </c>
      <c r="C14" s="3">
        <v>55</v>
      </c>
      <c r="D14" s="3">
        <v>15</v>
      </c>
    </row>
    <row r="15" spans="1:4" ht="13.5">
      <c r="A15" s="27" t="s">
        <v>103</v>
      </c>
      <c r="B15" s="3">
        <v>30</v>
      </c>
      <c r="C15" s="3">
        <v>45</v>
      </c>
      <c r="D15" s="3">
        <v>20</v>
      </c>
    </row>
    <row r="16" spans="1:4" ht="13.5">
      <c r="A16" s="27" t="s">
        <v>104</v>
      </c>
      <c r="B16" s="3">
        <v>40</v>
      </c>
      <c r="C16" s="3">
        <v>45</v>
      </c>
      <c r="D16" s="3">
        <v>20</v>
      </c>
    </row>
    <row r="18" spans="3:4" ht="13.5">
      <c r="C18" s="3" t="s">
        <v>50</v>
      </c>
      <c r="D18" s="25">
        <f>SUMPRODUCT(B8:D10,B14:D16)</f>
        <v>6125000</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H17"/>
  <sheetViews>
    <sheetView workbookViewId="0" topLeftCell="A1">
      <selection activeCell="D14" sqref="D14"/>
    </sheetView>
  </sheetViews>
  <sheetFormatPr defaultColWidth="9.00390625" defaultRowHeight="13.5"/>
  <cols>
    <col min="1" max="1" width="10.25390625" style="0" bestFit="1" customWidth="1"/>
    <col min="3" max="3" width="14.00390625" style="0" bestFit="1" customWidth="1"/>
    <col min="5" max="5" width="12.625" style="0" bestFit="1" customWidth="1"/>
    <col min="6" max="6" width="11.00390625" style="0" bestFit="1" customWidth="1"/>
  </cols>
  <sheetData>
    <row r="1" ht="13.5">
      <c r="A1" s="1" t="s">
        <v>122</v>
      </c>
    </row>
    <row r="2" ht="13.5">
      <c r="A2" s="1" t="s">
        <v>126</v>
      </c>
    </row>
    <row r="4" ht="13.5">
      <c r="A4" s="1" t="s">
        <v>121</v>
      </c>
    </row>
    <row r="5" spans="1:7" ht="13.5">
      <c r="A5" s="27" t="s">
        <v>112</v>
      </c>
      <c r="B5" s="27" t="s">
        <v>113</v>
      </c>
      <c r="C5" s="27" t="s">
        <v>114</v>
      </c>
      <c r="D5" s="27" t="s">
        <v>115</v>
      </c>
      <c r="E5" s="27" t="s">
        <v>116</v>
      </c>
      <c r="G5" s="29" t="s">
        <v>123</v>
      </c>
    </row>
    <row r="6" spans="1:7" ht="13.5">
      <c r="A6" s="27" t="s">
        <v>117</v>
      </c>
      <c r="B6" s="3">
        <v>45</v>
      </c>
      <c r="C6" s="3">
        <v>6</v>
      </c>
      <c r="D6" s="28">
        <f>CEILING(B6,C6)</f>
        <v>48</v>
      </c>
      <c r="E6" s="28">
        <f>D6/C6</f>
        <v>8</v>
      </c>
      <c r="G6" t="s">
        <v>124</v>
      </c>
    </row>
    <row r="7" spans="1:7" ht="13.5">
      <c r="A7" s="27" t="s">
        <v>118</v>
      </c>
      <c r="B7" s="3">
        <v>125</v>
      </c>
      <c r="C7" s="3">
        <v>8</v>
      </c>
      <c r="D7" s="28">
        <f>CEILING(B7,C7)</f>
        <v>128</v>
      </c>
      <c r="E7" s="28">
        <f>D7/C7</f>
        <v>16</v>
      </c>
      <c r="G7" t="s">
        <v>125</v>
      </c>
    </row>
    <row r="8" spans="1:5" ht="13.5">
      <c r="A8" s="27" t="s">
        <v>119</v>
      </c>
      <c r="B8" s="3">
        <v>238</v>
      </c>
      <c r="C8" s="3">
        <v>12</v>
      </c>
      <c r="D8" s="28">
        <f>CEILING(B8,C8)</f>
        <v>240</v>
      </c>
      <c r="E8" s="28">
        <f>D8/C8</f>
        <v>20</v>
      </c>
    </row>
    <row r="9" spans="1:5" ht="13.5">
      <c r="A9" s="27" t="s">
        <v>120</v>
      </c>
      <c r="B9" s="3">
        <v>382</v>
      </c>
      <c r="C9" s="3">
        <v>15</v>
      </c>
      <c r="D9" s="28">
        <f>CEILING(B9,C9)</f>
        <v>390</v>
      </c>
      <c r="E9" s="28">
        <f>D9/C9</f>
        <v>26</v>
      </c>
    </row>
    <row r="12" ht="13.5">
      <c r="A12" s="1" t="s">
        <v>127</v>
      </c>
    </row>
    <row r="13" spans="1:8" ht="13.5">
      <c r="A13" s="27" t="s">
        <v>112</v>
      </c>
      <c r="B13" s="27" t="s">
        <v>113</v>
      </c>
      <c r="C13" s="27" t="s">
        <v>114</v>
      </c>
      <c r="D13" s="27" t="s">
        <v>115</v>
      </c>
      <c r="E13" s="27" t="s">
        <v>116</v>
      </c>
      <c r="F13" s="27" t="s">
        <v>128</v>
      </c>
      <c r="H13" s="29" t="s">
        <v>129</v>
      </c>
    </row>
    <row r="14" spans="1:8" ht="13.5">
      <c r="A14" s="27" t="s">
        <v>117</v>
      </c>
      <c r="B14" s="3">
        <v>45</v>
      </c>
      <c r="C14" s="3">
        <v>6</v>
      </c>
      <c r="D14" s="28">
        <f>FLOOR(B14,C14)</f>
        <v>42</v>
      </c>
      <c r="E14" s="28">
        <f>D14/C14</f>
        <v>7</v>
      </c>
      <c r="F14" s="28">
        <f>B14-D14</f>
        <v>3</v>
      </c>
      <c r="H14" t="s">
        <v>130</v>
      </c>
    </row>
    <row r="15" spans="1:8" ht="13.5">
      <c r="A15" s="27" t="s">
        <v>118</v>
      </c>
      <c r="B15" s="3">
        <v>125</v>
      </c>
      <c r="C15" s="3">
        <v>8</v>
      </c>
      <c r="D15" s="28">
        <f>FLOOR(B15,C15)</f>
        <v>120</v>
      </c>
      <c r="E15" s="28">
        <f>D15/C15</f>
        <v>15</v>
      </c>
      <c r="F15" s="28">
        <f>B15-D15</f>
        <v>5</v>
      </c>
      <c r="H15" t="s">
        <v>131</v>
      </c>
    </row>
    <row r="16" spans="1:6" ht="13.5">
      <c r="A16" s="27" t="s">
        <v>119</v>
      </c>
      <c r="B16" s="3">
        <v>238</v>
      </c>
      <c r="C16" s="3">
        <v>12</v>
      </c>
      <c r="D16" s="28">
        <f>FLOOR(B16,C16)</f>
        <v>228</v>
      </c>
      <c r="E16" s="28">
        <f>D16/C16</f>
        <v>19</v>
      </c>
      <c r="F16" s="28">
        <f>B16-D16</f>
        <v>10</v>
      </c>
    </row>
    <row r="17" spans="1:6" ht="13.5">
      <c r="A17" s="27" t="s">
        <v>120</v>
      </c>
      <c r="B17" s="3">
        <v>382</v>
      </c>
      <c r="C17" s="3">
        <v>15</v>
      </c>
      <c r="D17" s="28">
        <f>FLOOR(B17,C17)</f>
        <v>375</v>
      </c>
      <c r="E17" s="28">
        <f>D17/C17</f>
        <v>25</v>
      </c>
      <c r="F17" s="28">
        <f>B17-D17</f>
        <v>7</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E13"/>
  <sheetViews>
    <sheetView workbookViewId="0" topLeftCell="A1">
      <selection activeCell="A13" sqref="A13"/>
    </sheetView>
  </sheetViews>
  <sheetFormatPr defaultColWidth="9.00390625" defaultRowHeight="13.5"/>
  <cols>
    <col min="1" max="1" width="10.25390625" style="0" customWidth="1"/>
    <col min="3" max="3" width="14.00390625" style="0" bestFit="1" customWidth="1"/>
    <col min="5" max="5" width="12.625" style="0" bestFit="1" customWidth="1"/>
  </cols>
  <sheetData>
    <row r="1" ht="13.5">
      <c r="A1" s="1" t="s">
        <v>132</v>
      </c>
    </row>
    <row r="2" ht="13.5">
      <c r="B2" t="s">
        <v>133</v>
      </c>
    </row>
    <row r="3" ht="13.5">
      <c r="B3" t="s">
        <v>134</v>
      </c>
    </row>
    <row r="5" ht="13.5">
      <c r="A5" s="1" t="s">
        <v>127</v>
      </c>
    </row>
    <row r="6" spans="1:5" ht="13.5">
      <c r="A6" s="27" t="s">
        <v>112</v>
      </c>
      <c r="B6" s="27" t="s">
        <v>113</v>
      </c>
      <c r="C6" s="27" t="s">
        <v>114</v>
      </c>
      <c r="D6" s="27" t="s">
        <v>115</v>
      </c>
      <c r="E6" s="27" t="s">
        <v>116</v>
      </c>
    </row>
    <row r="7" spans="1:5" ht="13.5">
      <c r="A7" s="27" t="s">
        <v>117</v>
      </c>
      <c r="B7" s="3">
        <v>45</v>
      </c>
      <c r="C7" s="3">
        <v>6</v>
      </c>
      <c r="D7" s="28">
        <f>MROUND(B7,C7)</f>
        <v>48</v>
      </c>
      <c r="E7" s="28">
        <f>D7/C7</f>
        <v>8</v>
      </c>
    </row>
    <row r="8" spans="1:5" ht="13.5">
      <c r="A8" s="27" t="s">
        <v>118</v>
      </c>
      <c r="B8" s="3">
        <v>125</v>
      </c>
      <c r="C8" s="3">
        <v>8</v>
      </c>
      <c r="D8" s="28">
        <f>MROUND(B8,C8)</f>
        <v>128</v>
      </c>
      <c r="E8" s="28">
        <f>D8/C8</f>
        <v>16</v>
      </c>
    </row>
    <row r="9" spans="1:5" ht="13.5">
      <c r="A9" s="27" t="s">
        <v>119</v>
      </c>
      <c r="B9" s="3">
        <v>238</v>
      </c>
      <c r="C9" s="3">
        <v>12</v>
      </c>
      <c r="D9" s="28">
        <f>MROUND(B9,C9)</f>
        <v>240</v>
      </c>
      <c r="E9" s="28">
        <f>D9/C9</f>
        <v>20</v>
      </c>
    </row>
    <row r="10" spans="1:5" ht="13.5">
      <c r="A10" s="27" t="s">
        <v>120</v>
      </c>
      <c r="B10" s="3">
        <v>382</v>
      </c>
      <c r="C10" s="3">
        <v>15</v>
      </c>
      <c r="D10" s="28">
        <f>MROUND(B10,C10)</f>
        <v>375</v>
      </c>
      <c r="E10" s="28">
        <f>D10/C10</f>
        <v>25</v>
      </c>
    </row>
    <row r="12" ht="13.5">
      <c r="A12" t="s">
        <v>135</v>
      </c>
    </row>
    <row r="13" ht="13.5">
      <c r="A13" t="s">
        <v>136</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F13"/>
  <sheetViews>
    <sheetView workbookViewId="0" topLeftCell="A1">
      <selection activeCell="D6" sqref="D6"/>
    </sheetView>
  </sheetViews>
  <sheetFormatPr defaultColWidth="9.00390625" defaultRowHeight="13.5"/>
  <cols>
    <col min="2" max="2" width="11.00390625" style="0" bestFit="1" customWidth="1"/>
  </cols>
  <sheetData>
    <row r="1" ht="13.5">
      <c r="A1" s="1" t="s">
        <v>137</v>
      </c>
    </row>
    <row r="3" ht="13.5">
      <c r="A3" t="s">
        <v>138</v>
      </c>
    </row>
    <row r="4" spans="2:3" ht="13.5">
      <c r="B4" s="30" t="s">
        <v>139</v>
      </c>
      <c r="C4" s="31">
        <v>12000</v>
      </c>
    </row>
    <row r="5" spans="1:4" ht="13.5">
      <c r="A5" s="26" t="s">
        <v>140</v>
      </c>
      <c r="B5" s="26" t="s">
        <v>141</v>
      </c>
      <c r="C5" s="26" t="s">
        <v>142</v>
      </c>
      <c r="D5" s="33"/>
    </row>
    <row r="6" spans="1:5" ht="13.5">
      <c r="A6" s="27" t="s">
        <v>143</v>
      </c>
      <c r="B6" s="4">
        <v>9800</v>
      </c>
      <c r="C6" s="32">
        <f aca="true" t="shared" si="0" ref="C6:C11">MIN(B6,$C$4)</f>
        <v>9800</v>
      </c>
      <c r="D6" s="34">
        <f aca="true" t="shared" si="1" ref="D6:D11">IF(C6&gt;=$C$4,$C$4,C6)</f>
        <v>9800</v>
      </c>
      <c r="E6" t="s">
        <v>149</v>
      </c>
    </row>
    <row r="7" spans="1:4" ht="13.5">
      <c r="A7" s="27" t="s">
        <v>144</v>
      </c>
      <c r="B7" s="4">
        <v>13000</v>
      </c>
      <c r="C7" s="32">
        <f t="shared" si="0"/>
        <v>12000</v>
      </c>
      <c r="D7" s="34">
        <f t="shared" si="1"/>
        <v>12000</v>
      </c>
    </row>
    <row r="8" spans="1:4" ht="13.5">
      <c r="A8" s="27" t="s">
        <v>145</v>
      </c>
      <c r="B8" s="4">
        <v>11200</v>
      </c>
      <c r="C8" s="32">
        <f t="shared" si="0"/>
        <v>11200</v>
      </c>
      <c r="D8" s="34">
        <f t="shared" si="1"/>
        <v>11200</v>
      </c>
    </row>
    <row r="9" spans="1:4" ht="13.5">
      <c r="A9" s="27" t="s">
        <v>146</v>
      </c>
      <c r="B9" s="4">
        <v>12400</v>
      </c>
      <c r="C9" s="32">
        <f t="shared" si="0"/>
        <v>12000</v>
      </c>
      <c r="D9" s="34">
        <f t="shared" si="1"/>
        <v>12000</v>
      </c>
    </row>
    <row r="10" spans="1:4" ht="13.5">
      <c r="A10" s="27" t="s">
        <v>147</v>
      </c>
      <c r="B10" s="4">
        <v>10800</v>
      </c>
      <c r="C10" s="32">
        <f t="shared" si="0"/>
        <v>10800</v>
      </c>
      <c r="D10" s="34">
        <f t="shared" si="1"/>
        <v>10800</v>
      </c>
    </row>
    <row r="11" spans="1:4" ht="13.5">
      <c r="A11" s="27" t="s">
        <v>148</v>
      </c>
      <c r="B11" s="4">
        <v>12800</v>
      </c>
      <c r="C11" s="32">
        <f t="shared" si="0"/>
        <v>12000</v>
      </c>
      <c r="D11" s="34">
        <f t="shared" si="1"/>
        <v>12000</v>
      </c>
    </row>
    <row r="12" ht="13.5">
      <c r="F12" t="s">
        <v>150</v>
      </c>
    </row>
    <row r="13" ht="13.5">
      <c r="F13" t="s">
        <v>151</v>
      </c>
    </row>
  </sheetData>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I20"/>
  <sheetViews>
    <sheetView workbookViewId="0" topLeftCell="A1">
      <selection activeCell="G2" sqref="G2"/>
    </sheetView>
  </sheetViews>
  <sheetFormatPr defaultColWidth="9.00390625" defaultRowHeight="13.5"/>
  <sheetData>
    <row r="1" ht="13.5">
      <c r="A1" s="1" t="s">
        <v>434</v>
      </c>
    </row>
    <row r="4" ht="13.5">
      <c r="A4" s="1" t="s">
        <v>152</v>
      </c>
    </row>
    <row r="5" spans="1:6" ht="13.5">
      <c r="A5" s="35" t="s">
        <v>39</v>
      </c>
      <c r="B5" s="35" t="s">
        <v>153</v>
      </c>
      <c r="C5" s="35" t="s">
        <v>154</v>
      </c>
      <c r="D5" s="35" t="s">
        <v>155</v>
      </c>
      <c r="F5" s="36" t="s">
        <v>156</v>
      </c>
    </row>
    <row r="6" spans="1:6" ht="13.5">
      <c r="A6" s="5">
        <v>39034</v>
      </c>
      <c r="B6" s="42">
        <v>0.4166666666666667</v>
      </c>
      <c r="C6" s="42">
        <v>0.75</v>
      </c>
      <c r="D6" s="43">
        <f aca="true" t="shared" si="0" ref="D6:D11">C6-B6</f>
        <v>0.3333333333333333</v>
      </c>
      <c r="F6" s="37">
        <v>1300</v>
      </c>
    </row>
    <row r="7" spans="1:6" ht="13.5">
      <c r="A7" s="5">
        <v>39035</v>
      </c>
      <c r="B7" s="42">
        <v>0.4166666666666667</v>
      </c>
      <c r="C7" s="42">
        <v>0.75</v>
      </c>
      <c r="D7" s="43">
        <f t="shared" si="0"/>
        <v>0.3333333333333333</v>
      </c>
      <c r="F7" s="27" t="s">
        <v>157</v>
      </c>
    </row>
    <row r="8" spans="1:6" ht="13.5">
      <c r="A8" s="5">
        <v>39036</v>
      </c>
      <c r="B8" s="42">
        <v>0.375</v>
      </c>
      <c r="C8" s="42">
        <v>0.7083333333333334</v>
      </c>
      <c r="D8" s="43">
        <f t="shared" si="0"/>
        <v>0.33333333333333337</v>
      </c>
      <c r="F8" s="16">
        <f>D14*F6</f>
        <v>56550</v>
      </c>
    </row>
    <row r="9" spans="1:4" ht="13.5">
      <c r="A9" s="5">
        <v>39037</v>
      </c>
      <c r="B9" s="42">
        <v>0.375</v>
      </c>
      <c r="C9" s="42">
        <v>0.625</v>
      </c>
      <c r="D9" s="43">
        <f t="shared" si="0"/>
        <v>0.25</v>
      </c>
    </row>
    <row r="10" spans="1:9" ht="13.5">
      <c r="A10" s="5">
        <v>39038</v>
      </c>
      <c r="B10" s="42">
        <v>0.3333333333333333</v>
      </c>
      <c r="C10" s="42">
        <v>0.5833333333333334</v>
      </c>
      <c r="D10" s="43">
        <f t="shared" si="0"/>
        <v>0.25000000000000006</v>
      </c>
      <c r="I10" s="46"/>
    </row>
    <row r="11" spans="1:7" ht="13.5">
      <c r="A11" s="5">
        <v>39039</v>
      </c>
      <c r="B11" s="42">
        <v>0.4166666666666667</v>
      </c>
      <c r="C11" s="42">
        <v>0.7291666666666666</v>
      </c>
      <c r="D11" s="43">
        <f t="shared" si="0"/>
        <v>0.31249999999999994</v>
      </c>
      <c r="F11" s="45"/>
      <c r="G11" t="s">
        <v>164</v>
      </c>
    </row>
    <row r="12" spans="3:7" ht="13.5">
      <c r="C12" s="38" t="s">
        <v>158</v>
      </c>
      <c r="D12" s="44">
        <f>SUM(D6:D11)</f>
        <v>1.8125</v>
      </c>
      <c r="G12" t="s">
        <v>429</v>
      </c>
    </row>
    <row r="13" ht="13.5">
      <c r="F13" t="s">
        <v>165</v>
      </c>
    </row>
    <row r="14" spans="3:6" ht="13.5">
      <c r="C14" s="39" t="s">
        <v>159</v>
      </c>
      <c r="D14" s="40">
        <f>D12*24</f>
        <v>43.5</v>
      </c>
      <c r="F14" t="s">
        <v>430</v>
      </c>
    </row>
    <row r="16" ht="13.5">
      <c r="B16" s="41" t="s">
        <v>166</v>
      </c>
    </row>
    <row r="17" ht="13.5">
      <c r="B17" t="s">
        <v>162</v>
      </c>
    </row>
    <row r="18" ht="13.5">
      <c r="B18" t="s">
        <v>163</v>
      </c>
    </row>
    <row r="19" ht="13.5">
      <c r="B19" t="s">
        <v>160</v>
      </c>
    </row>
    <row r="20" ht="13.5">
      <c r="B20" t="s">
        <v>161</v>
      </c>
    </row>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MUROTA</dc:creator>
  <cp:keywords/>
  <dc:description/>
  <cp:lastModifiedBy>室田　博</cp:lastModifiedBy>
  <dcterms:created xsi:type="dcterms:W3CDTF">2009-02-13T08:59:22Z</dcterms:created>
  <dcterms:modified xsi:type="dcterms:W3CDTF">2009-08-27T07:49:06Z</dcterms:modified>
  <cp:category/>
  <cp:version/>
  <cp:contentType/>
  <cp:contentStatus/>
</cp:coreProperties>
</file>