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<sst xmlns="http://schemas.openxmlformats.org/spreadsheetml/2006/main" count="162" uniqueCount="146">
  <si>
    <t>値</t>
  </si>
  <si>
    <t>x</t>
  </si>
  <si>
    <t>t</t>
  </si>
  <si>
    <t>N</t>
  </si>
  <si>
    <t>dp</t>
  </si>
  <si>
    <t>R</t>
  </si>
  <si>
    <t>dux</t>
  </si>
  <si>
    <t>dx</t>
  </si>
  <si>
    <t>時刻</t>
  </si>
  <si>
    <t>秒</t>
  </si>
  <si>
    <t>m/s</t>
  </si>
  <si>
    <t>m</t>
  </si>
  <si>
    <t>N/m^2</t>
  </si>
  <si>
    <t>記号</t>
  </si>
  <si>
    <t>物理量</t>
  </si>
  <si>
    <t>単位</t>
  </si>
  <si>
    <t>N</t>
  </si>
  <si>
    <t>空気抵抗</t>
  </si>
  <si>
    <t>ボトル内の圧力の変化</t>
  </si>
  <si>
    <t>x成分の変化</t>
  </si>
  <si>
    <t>N</t>
  </si>
  <si>
    <t>N/m^2</t>
  </si>
  <si>
    <t>m/s</t>
  </si>
  <si>
    <t>ｍ</t>
  </si>
  <si>
    <t>計算式</t>
  </si>
  <si>
    <t>ｔ＋dt</t>
  </si>
  <si>
    <t>x+dx</t>
  </si>
  <si>
    <t>P</t>
  </si>
  <si>
    <t>P+dp</t>
  </si>
  <si>
    <t xml:space="preserve"> ux * dt</t>
  </si>
  <si>
    <t>諸定数</t>
  </si>
  <si>
    <t>ロケットの諸量</t>
  </si>
  <si>
    <t xml:space="preserve">    Temp_start=273+15 '--------------------発射時のタンク内の空気の温度[K]（今、１５℃に設定）</t>
  </si>
  <si>
    <t>　　Dair_start=P_start/(R*Temp_start) '---------発射時のタンク内の空気の密度[kg/m^3]（状態方程式より計算）</t>
  </si>
  <si>
    <t>初期条件</t>
  </si>
  <si>
    <t>P*K_choke</t>
  </si>
  <si>
    <t>噴出口の圧力</t>
  </si>
  <si>
    <t>p_exit</t>
  </si>
  <si>
    <t>p_choke</t>
  </si>
  <si>
    <t>噴出口での空気の密度</t>
  </si>
  <si>
    <t>噴出空気の流速</t>
  </si>
  <si>
    <t>空気の噴出による推力</t>
  </si>
  <si>
    <t>圧力推力（p_exit&gt;p_atmの場合に発生）</t>
  </si>
  <si>
    <t>Dair_exit</t>
  </si>
  <si>
    <t>現在のロケットの状態</t>
  </si>
  <si>
    <t>Dair</t>
  </si>
  <si>
    <t>ボトル内の空気の圧力</t>
  </si>
  <si>
    <t>ボトル内の空気の密度</t>
  </si>
  <si>
    <t>kg/m^3</t>
  </si>
  <si>
    <t>kg/m^3</t>
  </si>
  <si>
    <t>J/kg･K</t>
  </si>
  <si>
    <t>m^2</t>
  </si>
  <si>
    <t>K</t>
  </si>
  <si>
    <t>jet_air</t>
  </si>
  <si>
    <t>Dair_atm</t>
  </si>
  <si>
    <t>R</t>
  </si>
  <si>
    <t>C</t>
  </si>
  <si>
    <t>K_choke</t>
  </si>
  <si>
    <t>S</t>
  </si>
  <si>
    <t>a*(p_exit-p_atm)</t>
  </si>
  <si>
    <t>jet_force</t>
  </si>
  <si>
    <t>jet_p</t>
  </si>
  <si>
    <t>jet_air+jet_p</t>
  </si>
  <si>
    <t>dDair</t>
  </si>
  <si>
    <t>空気の密度の変化</t>
  </si>
  <si>
    <t>Dair+dDair</t>
  </si>
  <si>
    <t>空気の噴出による推力と圧力推力の合計</t>
  </si>
  <si>
    <t>設定値</t>
  </si>
  <si>
    <t>円周率</t>
  </si>
  <si>
    <t>大気圧</t>
  </si>
  <si>
    <t>N/m^2</t>
  </si>
  <si>
    <t>大気圧[N/m^2] を 1気圧＝ 1.013 * 10 ^ 5　N/m^2　とする</t>
  </si>
  <si>
    <t>水の密度</t>
  </si>
  <si>
    <t>空気の比熱比</t>
  </si>
  <si>
    <t>Gamma</t>
  </si>
  <si>
    <t>噴射口断面積</t>
  </si>
  <si>
    <t>m^2</t>
  </si>
  <si>
    <t>噴射口断面積    a = pai * (4.2 * 10 ^ (-3)) ^ 2  [m^2]　半径から計算</t>
  </si>
  <si>
    <t>ロケット本体質量</t>
  </si>
  <si>
    <t>ロケット本体質量    Mb = .165kg 1.5Lペットボトルの質量</t>
  </si>
  <si>
    <t>圧力タンク体積</t>
  </si>
  <si>
    <t>Vb</t>
  </si>
  <si>
    <t>ロケットの圧力タンクの体積　Vb=1.5*10^(-3)[m^3] １．５Lとする。</t>
  </si>
  <si>
    <t>計算ステップ</t>
  </si>
  <si>
    <t>数値計算の時間ステップ[秒]</t>
  </si>
  <si>
    <t>初期値</t>
  </si>
  <si>
    <t>発射時のタンク内の空気の圧力</t>
  </si>
  <si>
    <t>P_start</t>
  </si>
  <si>
    <t>発射時のタンク内の空気の圧力 P_start = 7 * Patm [N/m^2]（今、7気圧に設定）</t>
  </si>
  <si>
    <t>pai</t>
  </si>
  <si>
    <t>円周率π</t>
  </si>
  <si>
    <t>Patm</t>
  </si>
  <si>
    <t>Dw</t>
  </si>
  <si>
    <t>kg/m^3</t>
  </si>
  <si>
    <t>水の密度    Dw = 1.0 * 10 ^ 3 [kg/m^3]</t>
  </si>
  <si>
    <t xml:space="preserve">空気の比熱比  γ= 1.4 </t>
  </si>
  <si>
    <t>a</t>
  </si>
  <si>
    <t>Mb</t>
  </si>
  <si>
    <t>[kg]</t>
  </si>
  <si>
    <t>m^3</t>
  </si>
  <si>
    <t>dt</t>
  </si>
  <si>
    <t>s</t>
  </si>
  <si>
    <t>空気の気体定数</t>
  </si>
  <si>
    <t>15℃1気圧での空気の密度</t>
  </si>
  <si>
    <t>空気抵抗の抗力係数</t>
  </si>
  <si>
    <t>臨界圧力計算するための係数</t>
  </si>
  <si>
    <t>Dair_atm = 1.225  '１５℃、１気圧での空気の密度[kg/m^3]</t>
  </si>
  <si>
    <t xml:space="preserve">    S = π * (4.7 * 10 ^ (-2)) ^ 2  '----ロケット本体断面積[m^2]</t>
  </si>
  <si>
    <t>ロケット本体断面積</t>
  </si>
  <si>
    <t>発射時のタンク内の空気の温度</t>
  </si>
  <si>
    <t>Temp_start</t>
  </si>
  <si>
    <t>発射時のタンク内の空気の密度</t>
  </si>
  <si>
    <t>Dair_start</t>
  </si>
  <si>
    <t>空気の気体定数R[J/kg･K]　(8.31J/mol･K じゃないからね！）</t>
  </si>
  <si>
    <t xml:space="preserve">空気抵抗=C * (1/2)*Dair * u ^ 2 * S として計算する。（ロケットの先端を30度の円錐とし、C＝０．３４とした） </t>
  </si>
  <si>
    <r>
      <t>K_choke=(2/(γ+1))^(γ/(γ-1))　臨界圧力計算のための係数　P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＝K_choke*P</t>
    </r>
  </si>
  <si>
    <t>ロケットにはたらく力</t>
  </si>
  <si>
    <t>速度</t>
  </si>
  <si>
    <t>位置</t>
  </si>
  <si>
    <t>v</t>
  </si>
  <si>
    <t>v+dv</t>
  </si>
  <si>
    <t>C * Dair / 2 * v^ 2 * S</t>
  </si>
  <si>
    <t>ロケットの加速度</t>
  </si>
  <si>
    <t>α</t>
  </si>
  <si>
    <t>臨界圧力を求める</t>
  </si>
  <si>
    <t>チョーキングしているかどうかの判断</t>
  </si>
  <si>
    <t>チョーキングしているなら１、していないなら０</t>
  </si>
  <si>
    <t>チョーキングならp_exitはp_chokeに等しい。でなければp_atmに等しい</t>
  </si>
  <si>
    <t>Dair*(p_exit/P)^(1/γ)</t>
  </si>
  <si>
    <t>Sqr(2 * γ/(γ-1)*P/Dair*(1-(p_exit/P)^((γ-1)/γ)))</t>
  </si>
  <si>
    <t>u_air</t>
  </si>
  <si>
    <t>Dair_exit*a*u_air^2</t>
  </si>
  <si>
    <t>推力と空抵抗の合力 jet_force - R</t>
  </si>
  <si>
    <t>F</t>
  </si>
  <si>
    <t>ボトル内の空気の質量</t>
  </si>
  <si>
    <t>Dair*Vb</t>
  </si>
  <si>
    <t>F/(Mb+m)</t>
  </si>
  <si>
    <t>m/s^2</t>
  </si>
  <si>
    <t>dt後の変化量の計算</t>
  </si>
  <si>
    <t>(-Dair_exit*a*u*dt)/Vb</t>
  </si>
  <si>
    <t>γ*P*dDair/Dair</t>
  </si>
  <si>
    <t>速度の変化</t>
  </si>
  <si>
    <t xml:space="preserve"> α * dt </t>
  </si>
  <si>
    <t>空気ロケットカー（圧縮空気を噴出する勢いでに進む車）</t>
  </si>
  <si>
    <t>kg</t>
  </si>
  <si>
    <t>推力の計算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</si>
</sst>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9.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theme="9" tint="-0.24997000396251678"/>
      </left>
      <right style="thin"/>
      <top style="medium">
        <color theme="9" tint="-0.24997000396251678"/>
      </top>
      <bottom style="medium">
        <color theme="9" tint="-0.24997000396251678"/>
      </bottom>
    </border>
    <border>
      <left style="thin"/>
      <right style="thin"/>
      <top style="medium">
        <color theme="9" tint="-0.24997000396251678"/>
      </top>
      <bottom style="medium">
        <color theme="9" tint="-0.24997000396251678"/>
      </bottom>
    </border>
    <border>
      <left style="thin"/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theme="9" tint="-0.24997000396251678"/>
      </bottom>
    </border>
    <border>
      <left style="thin"/>
      <right>
        <color indexed="63"/>
      </right>
      <top style="thin"/>
      <bottom style="medium">
        <color theme="9" tint="-0.24997000396251678"/>
      </bottom>
    </border>
    <border>
      <left style="thin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4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wrapText="1" shrinkToFit="1"/>
    </xf>
    <xf numFmtId="0" fontId="0" fillId="32" borderId="24" xfId="0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7" borderId="27" xfId="0" applyFill="1" applyBorder="1" applyAlignment="1">
      <alignment shrinkToFit="1"/>
    </xf>
    <xf numFmtId="0" fontId="0" fillId="7" borderId="28" xfId="0" applyFill="1" applyBorder="1" applyAlignment="1">
      <alignment shrinkToFit="1"/>
    </xf>
    <xf numFmtId="0" fontId="0" fillId="7" borderId="29" xfId="0" applyFill="1" applyBorder="1" applyAlignment="1">
      <alignment shrinkToFit="1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 quotePrefix="1">
      <alignment horizontal="center" vertical="center" wrapText="1" shrinkToFit="1"/>
    </xf>
    <xf numFmtId="0" fontId="0" fillId="7" borderId="31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7" borderId="35" xfId="0" applyFill="1" applyBorder="1" applyAlignment="1">
      <alignment shrinkToFit="1"/>
    </xf>
    <xf numFmtId="0" fontId="0" fillId="37" borderId="10" xfId="0" applyFill="1" applyBorder="1" applyAlignment="1">
      <alignment shrinkToFit="1"/>
    </xf>
    <xf numFmtId="0" fontId="0" fillId="37" borderId="11" xfId="0" applyFill="1" applyBorder="1" applyAlignment="1">
      <alignment shrinkToFit="1"/>
    </xf>
    <xf numFmtId="0" fontId="0" fillId="11" borderId="11" xfId="0" applyFill="1" applyBorder="1" applyAlignment="1">
      <alignment shrinkToFit="1"/>
    </xf>
    <xf numFmtId="0" fontId="0" fillId="11" borderId="32" xfId="0" applyFill="1" applyBorder="1" applyAlignment="1">
      <alignment shrinkToFit="1"/>
    </xf>
    <xf numFmtId="0" fontId="0" fillId="38" borderId="36" xfId="0" applyFill="1" applyBorder="1" applyAlignment="1">
      <alignment shrinkToFit="1"/>
    </xf>
    <xf numFmtId="0" fontId="0" fillId="38" borderId="11" xfId="0" applyFill="1" applyBorder="1" applyAlignment="1">
      <alignment shrinkToFit="1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 wrapText="1" shrinkToFit="1"/>
    </xf>
    <xf numFmtId="0" fontId="0" fillId="0" borderId="38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6" fillId="36" borderId="40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4825"/>
          <c:y val="0.4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4075"/>
          <c:w val="0.89275"/>
          <c:h val="0.8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Sheet1!$E$34</c:f>
              <c:strCache>
                <c:ptCount val="1"/>
                <c:pt idx="0">
                  <c:v>m/s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Sheet1!$D$35:$D$92</c:f>
              <c:numCache/>
            </c:numRef>
          </c:xVal>
          <c:yVal>
            <c:numRef>
              <c:f>Sheet1!$E$35:$E$92</c:f>
              <c:numCache/>
            </c:numRef>
          </c:yVal>
          <c:smooth val="1"/>
        </c:ser>
        <c:axId val="33879409"/>
        <c:axId val="36479226"/>
      </c:scatterChart>
      <c:valAx>
        <c:axId val="338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9226"/>
        <c:crosses val="autoZero"/>
        <c:crossBetween val="midCat"/>
        <c:dispUnits/>
      </c:valAx>
      <c:valAx>
        <c:axId val="364792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595"/>
          <c:y val="0.55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36"/>
          <c:w val="0.889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Sheet1!$Q$34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Sheet1!$D$35:$D$92</c:f>
              <c:numCache/>
            </c:numRef>
          </c:xVal>
          <c:yVal>
            <c:numRef>
              <c:f>Sheet1!$Q$35:$Q$92</c:f>
              <c:numCache/>
            </c:numRef>
          </c:yVal>
          <c:smooth val="1"/>
        </c:ser>
        <c:axId val="59877579"/>
        <c:axId val="2027300"/>
      </c:scatterChart>
      <c:val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300"/>
        <c:crosses val="autoZero"/>
        <c:crossBetween val="midCat"/>
        <c:dispUnits/>
      </c:valAx>
      <c:valAx>
        <c:axId val="20273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推力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7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0.6645</cdr:y>
    </cdr:from>
    <cdr:to>
      <cdr:x>0.27275</cdr:x>
      <cdr:y>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61950" y="1790700"/>
          <a:ext cx="10001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</xdr:row>
      <xdr:rowOff>28575</xdr:rowOff>
    </xdr:from>
    <xdr:to>
      <xdr:col>26</xdr:col>
      <xdr:colOff>152400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14830425" y="609600"/>
        <a:ext cx="5000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657225</xdr:colOff>
      <xdr:row>1</xdr:row>
      <xdr:rowOff>123825</xdr:rowOff>
    </xdr:from>
    <xdr:to>
      <xdr:col>18</xdr:col>
      <xdr:colOff>571500</xdr:colOff>
      <xdr:row>8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285750"/>
          <a:ext cx="4086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32</xdr:row>
      <xdr:rowOff>1000125</xdr:rowOff>
    </xdr:from>
    <xdr:to>
      <xdr:col>2</xdr:col>
      <xdr:colOff>1171575</xdr:colOff>
      <xdr:row>32</xdr:row>
      <xdr:rowOff>1600200</xdr:rowOff>
    </xdr:to>
    <xdr:sp>
      <xdr:nvSpPr>
        <xdr:cNvPr id="3" name="線吹き出し 2 (枠付き) 6"/>
        <xdr:cNvSpPr>
          <a:spLocks/>
        </xdr:cNvSpPr>
      </xdr:nvSpPr>
      <xdr:spPr>
        <a:xfrm>
          <a:off x="581025" y="9334500"/>
          <a:ext cx="2466975" cy="600075"/>
        </a:xfrm>
        <a:prstGeom prst="borderCallout2">
          <a:avLst>
            <a:gd name="adj1" fmla="val 124972"/>
            <a:gd name="adj2" fmla="val 9197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19</xdr:col>
      <xdr:colOff>57150</xdr:colOff>
      <xdr:row>15</xdr:row>
      <xdr:rowOff>133350</xdr:rowOff>
    </xdr:from>
    <xdr:to>
      <xdr:col>26</xdr:col>
      <xdr:colOff>190500</xdr:colOff>
      <xdr:row>25</xdr:row>
      <xdr:rowOff>266700</xdr:rowOff>
    </xdr:to>
    <xdr:graphicFrame>
      <xdr:nvGraphicFramePr>
        <xdr:cNvPr id="4" name="Chart 2"/>
        <xdr:cNvGraphicFramePr/>
      </xdr:nvGraphicFramePr>
      <xdr:xfrm>
        <a:off x="14868525" y="3124200"/>
        <a:ext cx="50006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40</xdr:row>
      <xdr:rowOff>123825</xdr:rowOff>
    </xdr:from>
    <xdr:to>
      <xdr:col>13</xdr:col>
      <xdr:colOff>685800</xdr:colOff>
      <xdr:row>44</xdr:row>
      <xdr:rowOff>76200</xdr:rowOff>
    </xdr:to>
    <xdr:sp>
      <xdr:nvSpPr>
        <xdr:cNvPr id="5" name="線吹き出し 2 (枠付き) 5"/>
        <xdr:cNvSpPr>
          <a:spLocks/>
        </xdr:cNvSpPr>
      </xdr:nvSpPr>
      <xdr:spPr>
        <a:xfrm>
          <a:off x="9353550" y="11277600"/>
          <a:ext cx="1971675" cy="600075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②、①の値をもとに計算する</a:t>
          </a:r>
        </a:p>
      </xdr:txBody>
    </xdr:sp>
    <xdr:clientData/>
  </xdr:twoCellAnchor>
  <xdr:twoCellAnchor>
    <xdr:from>
      <xdr:col>24</xdr:col>
      <xdr:colOff>342900</xdr:colOff>
      <xdr:row>32</xdr:row>
      <xdr:rowOff>333375</xdr:rowOff>
    </xdr:from>
    <xdr:to>
      <xdr:col>27</xdr:col>
      <xdr:colOff>238125</xdr:colOff>
      <xdr:row>32</xdr:row>
      <xdr:rowOff>942975</xdr:rowOff>
    </xdr:to>
    <xdr:sp>
      <xdr:nvSpPr>
        <xdr:cNvPr id="6" name="線吹き出し 2 (枠付き) 7"/>
        <xdr:cNvSpPr>
          <a:spLocks/>
        </xdr:cNvSpPr>
      </xdr:nvSpPr>
      <xdr:spPr>
        <a:xfrm>
          <a:off x="18630900" y="8667750"/>
          <a:ext cx="1981200" cy="609600"/>
        </a:xfrm>
        <a:prstGeom prst="borderCallout2">
          <a:avLst>
            <a:gd name="adj1" fmla="val -92518"/>
            <a:gd name="adj2" fmla="val 207625"/>
            <a:gd name="adj3" fmla="val -81837"/>
            <a:gd name="adj4" fmla="val 107824"/>
            <a:gd name="adj5" fmla="val -2157"/>
            <a:gd name="adj6" fmla="val 48662"/>
          </a:avLst>
        </a:prstGeom>
        <a:solidFill>
          <a:srgbClr val="FFFFFF"/>
        </a:solidFill>
        <a:ln w="127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③変化量を求める</a:t>
          </a:r>
        </a:p>
      </xdr:txBody>
    </xdr:sp>
    <xdr:clientData/>
  </xdr:twoCellAnchor>
  <xdr:twoCellAnchor>
    <xdr:from>
      <xdr:col>1</xdr:col>
      <xdr:colOff>638175</xdr:colOff>
      <xdr:row>42</xdr:row>
      <xdr:rowOff>19050</xdr:rowOff>
    </xdr:from>
    <xdr:to>
      <xdr:col>3</xdr:col>
      <xdr:colOff>638175</xdr:colOff>
      <xdr:row>45</xdr:row>
      <xdr:rowOff>123825</xdr:rowOff>
    </xdr:to>
    <xdr:sp>
      <xdr:nvSpPr>
        <xdr:cNvPr id="7" name="線吹き出し 2 (枠付き) 8"/>
        <xdr:cNvSpPr>
          <a:spLocks/>
        </xdr:cNvSpPr>
      </xdr:nvSpPr>
      <xdr:spPr>
        <a:xfrm>
          <a:off x="1828800" y="11496675"/>
          <a:ext cx="1971675" cy="590550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604A7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④、①の値に③を加える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2"/>
  <sheetViews>
    <sheetView tabSelected="1" zoomScale="55" zoomScaleNormal="55" zoomScalePageLayoutView="0" workbookViewId="0" topLeftCell="A1">
      <selection activeCell="B30" sqref="B30"/>
    </sheetView>
  </sheetViews>
  <sheetFormatPr defaultColWidth="9.00390625" defaultRowHeight="13.5"/>
  <cols>
    <col min="1" max="1" width="15.625" style="0" customWidth="1"/>
    <col min="3" max="3" width="16.875" style="0" customWidth="1"/>
    <col min="4" max="4" width="14.875" style="0" customWidth="1"/>
    <col min="5" max="5" width="10.25390625" style="10" customWidth="1"/>
    <col min="6" max="34" width="9.125" style="0" customWidth="1"/>
  </cols>
  <sheetData>
    <row r="1" ht="12.75" thickBot="1">
      <c r="G1" s="10"/>
    </row>
    <row r="2" spans="4:15" ht="19.5" thickBot="1">
      <c r="D2" s="82" t="s">
        <v>143</v>
      </c>
      <c r="E2" s="83"/>
      <c r="F2" s="83"/>
      <c r="G2" s="83"/>
      <c r="H2" s="83"/>
      <c r="I2" s="83"/>
      <c r="J2" s="83"/>
      <c r="K2" s="83"/>
      <c r="L2" s="83"/>
      <c r="M2" s="83"/>
      <c r="N2" s="84"/>
      <c r="O2" s="53"/>
    </row>
    <row r="3" ht="13.5">
      <c r="E3"/>
    </row>
    <row r="4" ht="13.5"/>
    <row r="5" spans="3:6" ht="14.25" thickBot="1">
      <c r="C5" s="29" t="s">
        <v>67</v>
      </c>
      <c r="D5" s="30" t="s">
        <v>13</v>
      </c>
      <c r="E5" s="30" t="s">
        <v>0</v>
      </c>
      <c r="F5" s="30" t="s">
        <v>15</v>
      </c>
    </row>
    <row r="6" spans="2:19" ht="13.5">
      <c r="B6" s="73" t="s">
        <v>30</v>
      </c>
      <c r="C6" s="33" t="s">
        <v>68</v>
      </c>
      <c r="D6" s="34" t="s">
        <v>89</v>
      </c>
      <c r="E6" s="22">
        <v>3.141592654</v>
      </c>
      <c r="F6" s="34"/>
      <c r="G6" s="85" t="s">
        <v>90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2:19" ht="13.5">
      <c r="B7" s="74"/>
      <c r="C7" s="36" t="s">
        <v>69</v>
      </c>
      <c r="D7" s="25" t="s">
        <v>91</v>
      </c>
      <c r="E7" s="21">
        <f>1.013*10^5</f>
        <v>101299.99999999999</v>
      </c>
      <c r="F7" s="25" t="s">
        <v>70</v>
      </c>
      <c r="G7" s="87" t="s">
        <v>71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</row>
    <row r="8" spans="2:19" ht="13.5">
      <c r="B8" s="74"/>
      <c r="C8" s="36" t="s">
        <v>72</v>
      </c>
      <c r="D8" s="25" t="s">
        <v>92</v>
      </c>
      <c r="E8" s="21">
        <v>999.1</v>
      </c>
      <c r="F8" s="25" t="s">
        <v>93</v>
      </c>
      <c r="G8" s="87" t="s">
        <v>94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</row>
    <row r="9" spans="2:19" ht="24.75" customHeight="1">
      <c r="B9" s="74"/>
      <c r="C9" s="37" t="s">
        <v>103</v>
      </c>
      <c r="D9" s="26" t="s">
        <v>54</v>
      </c>
      <c r="E9" s="21">
        <v>1.225</v>
      </c>
      <c r="F9" s="26" t="s">
        <v>49</v>
      </c>
      <c r="G9" s="90" t="s">
        <v>106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</row>
    <row r="10" spans="2:19" ht="12.75">
      <c r="B10" s="74"/>
      <c r="C10" s="36" t="s">
        <v>102</v>
      </c>
      <c r="D10" s="26" t="s">
        <v>55</v>
      </c>
      <c r="E10" s="21">
        <v>287.03</v>
      </c>
      <c r="F10" s="26" t="s">
        <v>50</v>
      </c>
      <c r="G10" s="97" t="s">
        <v>113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</row>
    <row r="11" spans="2:19" ht="12.75">
      <c r="B11" s="74"/>
      <c r="C11" s="36" t="s">
        <v>73</v>
      </c>
      <c r="D11" s="25" t="s">
        <v>74</v>
      </c>
      <c r="E11" s="21">
        <v>1.4</v>
      </c>
      <c r="F11" s="25"/>
      <c r="G11" s="87" t="s">
        <v>95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</row>
    <row r="12" spans="2:19" ht="12.75">
      <c r="B12" s="74"/>
      <c r="C12" s="36" t="s">
        <v>104</v>
      </c>
      <c r="D12" s="27" t="s">
        <v>56</v>
      </c>
      <c r="E12" s="23">
        <v>0.34</v>
      </c>
      <c r="F12" s="25"/>
      <c r="G12" s="97" t="s">
        <v>114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2:19" ht="33" customHeight="1" thickBot="1">
      <c r="B13" s="75"/>
      <c r="C13" s="38" t="s">
        <v>105</v>
      </c>
      <c r="D13" s="28" t="s">
        <v>57</v>
      </c>
      <c r="E13" s="24">
        <f>(2/($E$11+1))^($E$11/($E$11-1))</f>
        <v>0.5282817877171742</v>
      </c>
      <c r="F13" s="39"/>
      <c r="G13" s="93" t="s">
        <v>115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</row>
    <row r="14" spans="2:19" ht="12.75">
      <c r="B14" s="76" t="s">
        <v>31</v>
      </c>
      <c r="C14" s="31" t="s">
        <v>75</v>
      </c>
      <c r="D14" s="32" t="s">
        <v>96</v>
      </c>
      <c r="E14" s="47">
        <f>E6*(4.2*10^(-3))^2</f>
        <v>5.5417694416560016E-05</v>
      </c>
      <c r="F14" s="32" t="s">
        <v>76</v>
      </c>
      <c r="G14" s="89" t="s">
        <v>77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 ht="12.75">
      <c r="B15" s="77"/>
      <c r="C15" s="15" t="s">
        <v>78</v>
      </c>
      <c r="D15" s="25" t="s">
        <v>97</v>
      </c>
      <c r="E15" s="47">
        <v>0.165</v>
      </c>
      <c r="F15" s="25" t="s">
        <v>98</v>
      </c>
      <c r="G15" s="87" t="s">
        <v>79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 ht="12.75" thickBot="1">
      <c r="B16" s="77"/>
      <c r="C16" s="15" t="s">
        <v>80</v>
      </c>
      <c r="D16" s="25" t="s">
        <v>81</v>
      </c>
      <c r="E16" s="48">
        <f>1.5*10^(-3)</f>
        <v>0.0015</v>
      </c>
      <c r="F16" s="25" t="s">
        <v>99</v>
      </c>
      <c r="G16" s="90" t="s">
        <v>82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/>
    </row>
    <row r="17" spans="2:19" ht="17.25" customHeight="1">
      <c r="B17" s="77"/>
      <c r="C17" s="15" t="s">
        <v>108</v>
      </c>
      <c r="D17" s="45" t="s">
        <v>58</v>
      </c>
      <c r="E17" s="49">
        <f>E6*(4.7*10^(-2))^2</f>
        <v>0.006939778172686001</v>
      </c>
      <c r="F17" s="45" t="s">
        <v>51</v>
      </c>
      <c r="G17" s="50" t="s">
        <v>107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</row>
    <row r="18" spans="2:19" ht="17.25" customHeight="1" thickBot="1">
      <c r="B18" s="78"/>
      <c r="C18" s="15"/>
      <c r="D18" s="46"/>
      <c r="E18" s="47"/>
      <c r="F18" s="46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3:19" ht="12.75">
      <c r="C19" s="43" t="s">
        <v>83</v>
      </c>
      <c r="D19" s="44" t="s">
        <v>100</v>
      </c>
      <c r="E19" s="16">
        <v>0.01</v>
      </c>
      <c r="F19" s="44" t="s">
        <v>101</v>
      </c>
      <c r="G19" s="90" t="s">
        <v>84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6"/>
    </row>
    <row r="20" spans="4:19" ht="12.75">
      <c r="D20" s="17"/>
      <c r="E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4:19" ht="12.75">
      <c r="D21" s="17"/>
      <c r="E2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3:19" ht="12.75" thickBot="1">
      <c r="C22" s="40" t="s">
        <v>85</v>
      </c>
      <c r="D22" s="41" t="s">
        <v>13</v>
      </c>
      <c r="E22" s="30" t="s">
        <v>0</v>
      </c>
      <c r="F22" s="41" t="s">
        <v>15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27.75" customHeight="1">
      <c r="B23" s="79" t="s">
        <v>34</v>
      </c>
      <c r="C23" s="51" t="s">
        <v>86</v>
      </c>
      <c r="D23" s="42" t="s">
        <v>87</v>
      </c>
      <c r="E23" s="35">
        <f>7*E7</f>
        <v>709099.9999999999</v>
      </c>
      <c r="F23" s="42" t="s">
        <v>70</v>
      </c>
      <c r="G23" s="85" t="s">
        <v>88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19" ht="27.75" customHeight="1">
      <c r="B24" s="80"/>
      <c r="C24" s="52" t="s">
        <v>109</v>
      </c>
      <c r="D24" s="18" t="s">
        <v>110</v>
      </c>
      <c r="E24" s="16">
        <f>273+15</f>
        <v>288</v>
      </c>
      <c r="F24" s="18" t="s">
        <v>52</v>
      </c>
      <c r="G24" s="87" t="s">
        <v>32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2:19" ht="27.75" customHeight="1">
      <c r="B25" s="80"/>
      <c r="C25" s="52" t="s">
        <v>111</v>
      </c>
      <c r="D25" s="18" t="s">
        <v>112</v>
      </c>
      <c r="E25" s="16">
        <f>E23/(E10*E24)</f>
        <v>8.578032880806111</v>
      </c>
      <c r="F25" s="18" t="s">
        <v>48</v>
      </c>
      <c r="G25" s="87" t="s">
        <v>33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2:19" ht="27.75" customHeight="1">
      <c r="B26" s="80"/>
      <c r="C26" s="52"/>
      <c r="D26" s="18"/>
      <c r="E26" s="16"/>
      <c r="F26" s="1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2:19" ht="27.75" customHeight="1" thickBot="1">
      <c r="B27" s="81"/>
      <c r="C27" s="52"/>
      <c r="D27" s="18"/>
      <c r="E27" s="16"/>
      <c r="F27" s="1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ht="12.75">
      <c r="G28" s="10"/>
    </row>
    <row r="29" ht="30.75" customHeight="1" thickBot="1"/>
    <row r="30" spans="3:24" ht="33.75" customHeight="1" thickBot="1">
      <c r="C30" s="10"/>
      <c r="E30" s="103" t="s">
        <v>44</v>
      </c>
      <c r="F30" s="104"/>
      <c r="G30" s="104"/>
      <c r="H30" s="104"/>
      <c r="I30" s="105"/>
      <c r="J30" s="100" t="s">
        <v>145</v>
      </c>
      <c r="K30" s="101"/>
      <c r="L30" s="101"/>
      <c r="M30" s="101"/>
      <c r="N30" s="101"/>
      <c r="O30" s="101"/>
      <c r="P30" s="101"/>
      <c r="Q30" s="102"/>
      <c r="R30" s="58"/>
      <c r="S30" s="59"/>
      <c r="T30" s="14" t="s">
        <v>122</v>
      </c>
      <c r="U30" s="58" t="s">
        <v>138</v>
      </c>
      <c r="V30" s="58"/>
      <c r="W30" s="58"/>
      <c r="X30" s="59"/>
    </row>
    <row r="31" spans="3:24" s="3" customFormat="1" ht="12.75">
      <c r="C31" s="4" t="s">
        <v>13</v>
      </c>
      <c r="D31" s="4" t="s">
        <v>2</v>
      </c>
      <c r="E31" s="12" t="s">
        <v>119</v>
      </c>
      <c r="F31" s="11" t="s">
        <v>1</v>
      </c>
      <c r="G31" s="11" t="s">
        <v>27</v>
      </c>
      <c r="H31" s="11" t="s">
        <v>45</v>
      </c>
      <c r="I31" s="11" t="s">
        <v>11</v>
      </c>
      <c r="J31" s="11" t="s">
        <v>38</v>
      </c>
      <c r="K31" s="11"/>
      <c r="L31" s="11" t="s">
        <v>37</v>
      </c>
      <c r="M31" s="11" t="s">
        <v>43</v>
      </c>
      <c r="N31" s="11" t="s">
        <v>130</v>
      </c>
      <c r="O31" s="11" t="s">
        <v>53</v>
      </c>
      <c r="P31" s="11" t="s">
        <v>61</v>
      </c>
      <c r="Q31" s="11" t="s">
        <v>60</v>
      </c>
      <c r="R31" s="11" t="s">
        <v>5</v>
      </c>
      <c r="S31" s="11" t="s">
        <v>133</v>
      </c>
      <c r="T31" s="11" t="s">
        <v>123</v>
      </c>
      <c r="U31" s="13" t="s">
        <v>63</v>
      </c>
      <c r="V31" s="11" t="s">
        <v>4</v>
      </c>
      <c r="W31" s="11" t="s">
        <v>6</v>
      </c>
      <c r="X31" s="11" t="s">
        <v>7</v>
      </c>
    </row>
    <row r="32" spans="3:24" s="2" customFormat="1" ht="93.75" customHeight="1">
      <c r="C32" s="5" t="s">
        <v>14</v>
      </c>
      <c r="D32" s="5" t="s">
        <v>8</v>
      </c>
      <c r="E32" s="5" t="s">
        <v>117</v>
      </c>
      <c r="F32" s="5" t="s">
        <v>118</v>
      </c>
      <c r="G32" s="5" t="s">
        <v>46</v>
      </c>
      <c r="H32" s="5" t="s">
        <v>47</v>
      </c>
      <c r="I32" s="5" t="s">
        <v>134</v>
      </c>
      <c r="J32" s="5" t="s">
        <v>124</v>
      </c>
      <c r="K32" s="5" t="s">
        <v>125</v>
      </c>
      <c r="L32" s="5" t="s">
        <v>36</v>
      </c>
      <c r="M32" s="5" t="s">
        <v>39</v>
      </c>
      <c r="N32" s="5" t="s">
        <v>40</v>
      </c>
      <c r="O32" s="5" t="s">
        <v>41</v>
      </c>
      <c r="P32" s="5" t="s">
        <v>42</v>
      </c>
      <c r="Q32" s="5" t="s">
        <v>66</v>
      </c>
      <c r="R32" s="5" t="s">
        <v>17</v>
      </c>
      <c r="S32" s="5" t="s">
        <v>116</v>
      </c>
      <c r="T32" s="5" t="s">
        <v>122</v>
      </c>
      <c r="U32" s="5" t="s">
        <v>64</v>
      </c>
      <c r="V32" s="5" t="s">
        <v>18</v>
      </c>
      <c r="W32" s="5" t="s">
        <v>141</v>
      </c>
      <c r="X32" s="5" t="s">
        <v>19</v>
      </c>
    </row>
    <row r="33" spans="3:24" s="2" customFormat="1" ht="132" customHeight="1">
      <c r="C33" s="9" t="s">
        <v>24</v>
      </c>
      <c r="D33" s="9" t="s">
        <v>25</v>
      </c>
      <c r="E33" s="9" t="s">
        <v>120</v>
      </c>
      <c r="F33" s="9" t="s">
        <v>26</v>
      </c>
      <c r="G33" s="9" t="s">
        <v>28</v>
      </c>
      <c r="H33" s="9" t="s">
        <v>65</v>
      </c>
      <c r="I33" s="9" t="s">
        <v>135</v>
      </c>
      <c r="J33" s="9" t="s">
        <v>35</v>
      </c>
      <c r="K33" s="9" t="s">
        <v>126</v>
      </c>
      <c r="L33" s="9" t="s">
        <v>127</v>
      </c>
      <c r="M33" s="9" t="s">
        <v>128</v>
      </c>
      <c r="N33" s="9" t="s">
        <v>129</v>
      </c>
      <c r="O33" s="9" t="s">
        <v>131</v>
      </c>
      <c r="P33" s="9" t="s">
        <v>59</v>
      </c>
      <c r="Q33" s="9" t="s">
        <v>62</v>
      </c>
      <c r="R33" s="9" t="s">
        <v>121</v>
      </c>
      <c r="S33" s="9" t="s">
        <v>132</v>
      </c>
      <c r="T33" s="9" t="s">
        <v>136</v>
      </c>
      <c r="U33" s="60" t="s">
        <v>139</v>
      </c>
      <c r="V33" s="9" t="s">
        <v>140</v>
      </c>
      <c r="W33" s="9" t="s">
        <v>142</v>
      </c>
      <c r="X33" s="9" t="s">
        <v>29</v>
      </c>
    </row>
    <row r="34" spans="3:24" s="3" customFormat="1" ht="12.75" thickBot="1">
      <c r="C34" s="8" t="s">
        <v>15</v>
      </c>
      <c r="D34" s="54" t="s">
        <v>9</v>
      </c>
      <c r="E34" s="54" t="s">
        <v>10</v>
      </c>
      <c r="F34" s="54" t="s">
        <v>11</v>
      </c>
      <c r="G34" s="64" t="s">
        <v>12</v>
      </c>
      <c r="H34" s="65" t="s">
        <v>49</v>
      </c>
      <c r="I34" s="64" t="s">
        <v>144</v>
      </c>
      <c r="J34" s="8" t="s">
        <v>12</v>
      </c>
      <c r="K34" s="8"/>
      <c r="L34" s="8" t="s">
        <v>12</v>
      </c>
      <c r="M34" s="8" t="s">
        <v>49</v>
      </c>
      <c r="N34" s="8" t="s">
        <v>10</v>
      </c>
      <c r="O34" s="8" t="s">
        <v>3</v>
      </c>
      <c r="P34" s="8" t="s">
        <v>3</v>
      </c>
      <c r="Q34" s="8" t="s">
        <v>3</v>
      </c>
      <c r="R34" s="8" t="s">
        <v>16</v>
      </c>
      <c r="S34" s="8" t="s">
        <v>20</v>
      </c>
      <c r="T34" s="8" t="s">
        <v>137</v>
      </c>
      <c r="U34" s="8" t="s">
        <v>49</v>
      </c>
      <c r="V34" s="8" t="s">
        <v>21</v>
      </c>
      <c r="W34" s="8" t="s">
        <v>22</v>
      </c>
      <c r="X34" s="8" t="s">
        <v>23</v>
      </c>
    </row>
    <row r="35" spans="3:24" s="1" customFormat="1" ht="13.5" thickBot="1" thickTop="1">
      <c r="C35" s="3"/>
      <c r="D35" s="55">
        <v>0</v>
      </c>
      <c r="E35" s="56">
        <v>0</v>
      </c>
      <c r="F35" s="56">
        <v>0</v>
      </c>
      <c r="G35" s="61">
        <f>$E$23</f>
        <v>709099.9999999999</v>
      </c>
      <c r="H35" s="66">
        <f>$E$25</f>
        <v>8.578032880806111</v>
      </c>
      <c r="I35" s="57">
        <f>H35*$E$16</f>
        <v>0.012867049321209167</v>
      </c>
      <c r="J35" s="71">
        <f>G35*$E$13</f>
        <v>374604.6156702481</v>
      </c>
      <c r="K35" s="72">
        <f>IF(J35&gt;$E$7,1,0)</f>
        <v>1</v>
      </c>
      <c r="L35" s="72">
        <f>IF(K35=1,J35,$E$7)</f>
        <v>374604.6156702481</v>
      </c>
      <c r="M35" s="72">
        <f>H35*(L35/G35)^(1/$E$11)</f>
        <v>5.437942254442745</v>
      </c>
      <c r="N35" s="72">
        <f>SQRT(2*$E$11/($E$11-1)*G35/H35*(1-(L35/G35)^(($E$11-1)/$E$11)))</f>
        <v>310.5512518087795</v>
      </c>
      <c r="O35" s="72">
        <f>M35*$E$14*N35^2</f>
        <v>29.06361376554541</v>
      </c>
      <c r="P35" s="72">
        <f>IF(L35&gt;$E$7,$E$14*(L35-$E$7),0)</f>
        <v>15.14591167384919</v>
      </c>
      <c r="Q35" s="72">
        <f>O35+P35</f>
        <v>44.209525439394596</v>
      </c>
      <c r="R35" s="72">
        <f>$E$12*$E$9/2*E35^2*$E$17</f>
        <v>0</v>
      </c>
      <c r="S35" s="72">
        <f>Q35-R35</f>
        <v>44.209525439394596</v>
      </c>
      <c r="T35" s="72">
        <f>S35/($E$15+I35)</f>
        <v>248.55376871719983</v>
      </c>
      <c r="U35" s="67">
        <f>-M35*$E$14*N35*$E$19/$E$16</f>
        <v>-0.6239144874641861</v>
      </c>
      <c r="V35" s="68">
        <f>$E$11*G35*U35/H35</f>
        <v>-72205.93309581601</v>
      </c>
      <c r="W35" s="68">
        <f>T35*$E$19</f>
        <v>2.4855376871719983</v>
      </c>
      <c r="X35" s="68">
        <f>E35*$E$19</f>
        <v>0</v>
      </c>
    </row>
    <row r="36" spans="3:24" s="1" customFormat="1" ht="12.75">
      <c r="C36" s="3"/>
      <c r="D36" s="69">
        <f aca="true" t="shared" si="0" ref="D36:D92">D35+$E$19</f>
        <v>0.01</v>
      </c>
      <c r="E36" s="69">
        <f>E35+W35</f>
        <v>2.4855376871719983</v>
      </c>
      <c r="F36" s="69">
        <f>F35+X35</f>
        <v>0</v>
      </c>
      <c r="G36" s="69">
        <f>IF((G35+V35)&lt;=$E$7,$E$7,G35+V35)</f>
        <v>636894.0669041838</v>
      </c>
      <c r="H36" s="70">
        <f>H35+U35</f>
        <v>7.954118393341925</v>
      </c>
      <c r="I36" s="69">
        <f>H36*$E$16</f>
        <v>0.011931177590012887</v>
      </c>
      <c r="J36" s="7">
        <f>G36*$E$13</f>
        <v>336459.53625060373</v>
      </c>
      <c r="K36" s="7">
        <f>IF(J36&gt;$E$7,1,0)</f>
        <v>1</v>
      </c>
      <c r="L36" s="7">
        <f>IF(K36=1,J36,$E$7)</f>
        <v>336459.53625060373</v>
      </c>
      <c r="M36" s="7">
        <f>H36*(L36/G36)^(1/$E$11)</f>
        <v>5.0424190614584745</v>
      </c>
      <c r="N36" s="7">
        <f>SQRT(2*$E$11/($E$11-1)*G36/H36*(1-(L36/G36)^(($E$11-1)/$E$11)))</f>
        <v>305.6405488642528</v>
      </c>
      <c r="O36" s="7">
        <f>M36*$E$14*N36^2</f>
        <v>26.104136468862837</v>
      </c>
      <c r="P36" s="7">
        <f>IF(L36&gt;$E$7,$E$14*(L36-$E$7),0)</f>
        <v>13.031999319075926</v>
      </c>
      <c r="Q36" s="7">
        <f>O36+P36</f>
        <v>39.13613578793876</v>
      </c>
      <c r="R36" s="7">
        <f>$E$12*$E$9/2*E36^2*$E$17</f>
        <v>0.008928351996421726</v>
      </c>
      <c r="S36" s="7">
        <f aca="true" t="shared" si="1" ref="S36:S67">Q36-R36</f>
        <v>39.12720743594234</v>
      </c>
      <c r="T36" s="7">
        <f>S36/($E$15+I36)</f>
        <v>221.14365579258387</v>
      </c>
      <c r="U36" s="6">
        <f>-M36*$E$14*N36*$E$19/$E$16</f>
        <v>-0.5693864152049346</v>
      </c>
      <c r="V36" s="7">
        <f>$E$11*G36*U36/H36</f>
        <v>-63827.86078376476</v>
      </c>
      <c r="W36" s="7">
        <f>T36*$E$19</f>
        <v>2.211436557925839</v>
      </c>
      <c r="X36" s="7">
        <f>E36*$E$19</f>
        <v>0.024855376871719983</v>
      </c>
    </row>
    <row r="37" spans="3:24" s="1" customFormat="1" ht="12.75">
      <c r="C37" s="3"/>
      <c r="D37" s="7">
        <f t="shared" si="0"/>
        <v>0.02</v>
      </c>
      <c r="E37" s="7">
        <f aca="true" t="shared" si="2" ref="E37:E47">E36+W36</f>
        <v>4.696974245097837</v>
      </c>
      <c r="F37" s="7">
        <f aca="true" t="shared" si="3" ref="F37:F47">F36+X36</f>
        <v>0.024855376871719983</v>
      </c>
      <c r="G37" s="7">
        <f aca="true" t="shared" si="4" ref="G37:G47">IF((G36+V36)&lt;=$E$7,$E$7,G36+V36)</f>
        <v>573066.2061204191</v>
      </c>
      <c r="H37" s="62">
        <f aca="true" t="shared" si="5" ref="H37:H47">H36+U36</f>
        <v>7.3847319781369904</v>
      </c>
      <c r="I37" s="63">
        <f aca="true" t="shared" si="6" ref="I37:I92">H37*$E$16</f>
        <v>0.011077097967205485</v>
      </c>
      <c r="J37" s="7">
        <f aca="true" t="shared" si="7" ref="J37:J47">G37*$E$13</f>
        <v>302740.4398495936</v>
      </c>
      <c r="K37" s="7">
        <f aca="true" t="shared" si="8" ref="K37:K47">IF(J37&gt;$E$7,1,0)</f>
        <v>1</v>
      </c>
      <c r="L37" s="7">
        <f aca="true" t="shared" si="9" ref="L37:L47">IF(K37=1,J37,$E$7)</f>
        <v>302740.4398495936</v>
      </c>
      <c r="M37" s="7">
        <f aca="true" t="shared" si="10" ref="M37:M47">H37*(L37/G37)^(1/$E$11)</f>
        <v>4.681463293466872</v>
      </c>
      <c r="N37" s="7">
        <f aca="true" t="shared" si="11" ref="N37:N47">SQRT(2*$E$11/($E$11-1)*G37/H37*(1-(L37/G37)^(($E$11-1)/$E$11)))</f>
        <v>300.89046492457385</v>
      </c>
      <c r="O37" s="7">
        <f aca="true" t="shared" si="12" ref="O37:O47">M37*$E$14*N37^2</f>
        <v>23.488048056367646</v>
      </c>
      <c r="P37" s="7">
        <f aca="true" t="shared" si="13" ref="P37:P47">IF(L37&gt;$E$7,$E$14*(L37-$E$7),0)</f>
        <v>11.163364738722217</v>
      </c>
      <c r="Q37" s="7">
        <f aca="true" t="shared" si="14" ref="Q37:Q47">O37+P37</f>
        <v>34.65141279508986</v>
      </c>
      <c r="R37" s="7">
        <f aca="true" t="shared" si="15" ref="R37:R47">$E$12*$E$9/2*E37^2*$E$17</f>
        <v>0.031883570954054974</v>
      </c>
      <c r="S37" s="7">
        <f t="shared" si="1"/>
        <v>34.6195292241358</v>
      </c>
      <c r="T37" s="7">
        <f aca="true" t="shared" si="16" ref="T37:T47">S37/($E$15+I37)</f>
        <v>196.61574176207583</v>
      </c>
      <c r="U37" s="6">
        <f aca="true" t="shared" si="17" ref="U37:U47">-M37*$E$14*N37*$E$19/$E$16</f>
        <v>-0.5204119282467249</v>
      </c>
      <c r="V37" s="7">
        <f aca="true" t="shared" si="18" ref="V37:V47">$E$11*G37*U37/H37</f>
        <v>-56538.63759880956</v>
      </c>
      <c r="W37" s="7">
        <f aca="true" t="shared" si="19" ref="W37:W47">T37*$E$19</f>
        <v>1.9661574176207584</v>
      </c>
      <c r="X37" s="7">
        <f aca="true" t="shared" si="20" ref="X37:X47">E37*$E$19</f>
        <v>0.046969742450978375</v>
      </c>
    </row>
    <row r="38" spans="3:24" s="1" customFormat="1" ht="12.75">
      <c r="C38" s="3"/>
      <c r="D38" s="7">
        <f t="shared" si="0"/>
        <v>0.03</v>
      </c>
      <c r="E38" s="7">
        <f t="shared" si="2"/>
        <v>6.6631316627185955</v>
      </c>
      <c r="F38" s="7">
        <f t="shared" si="3"/>
        <v>0.07182511932269836</v>
      </c>
      <c r="G38" s="7">
        <f t="shared" si="4"/>
        <v>516527.56852160953</v>
      </c>
      <c r="H38" s="62">
        <f t="shared" si="5"/>
        <v>6.8643200498902655</v>
      </c>
      <c r="I38" s="63">
        <f t="shared" si="6"/>
        <v>0.010296480074835399</v>
      </c>
      <c r="J38" s="7">
        <f t="shared" si="7"/>
        <v>272872.10730380105</v>
      </c>
      <c r="K38" s="7">
        <f t="shared" si="8"/>
        <v>1</v>
      </c>
      <c r="L38" s="7">
        <f t="shared" si="9"/>
        <v>272872.10730380105</v>
      </c>
      <c r="M38" s="7">
        <f t="shared" si="10"/>
        <v>4.351554320902646</v>
      </c>
      <c r="N38" s="7">
        <f t="shared" si="11"/>
        <v>296.29299614616934</v>
      </c>
      <c r="O38" s="7">
        <f t="shared" si="12"/>
        <v>21.170720280310753</v>
      </c>
      <c r="P38" s="7">
        <f t="shared" si="13"/>
        <v>9.50813061296729</v>
      </c>
      <c r="Q38" s="7">
        <f t="shared" si="14"/>
        <v>30.678850893278046</v>
      </c>
      <c r="R38" s="7">
        <f t="shared" si="15"/>
        <v>0.0641634028958277</v>
      </c>
      <c r="S38" s="7">
        <f t="shared" si="1"/>
        <v>30.614687490382217</v>
      </c>
      <c r="T38" s="7">
        <f t="shared" si="16"/>
        <v>174.64519240382108</v>
      </c>
      <c r="U38" s="6">
        <f t="shared" si="17"/>
        <v>-0.4763465118576223</v>
      </c>
      <c r="V38" s="7">
        <f t="shared" si="18"/>
        <v>-50181.88913940593</v>
      </c>
      <c r="W38" s="7">
        <f t="shared" si="19"/>
        <v>1.7464519240382108</v>
      </c>
      <c r="X38" s="7">
        <f t="shared" si="20"/>
        <v>0.06663131662718595</v>
      </c>
    </row>
    <row r="39" spans="3:24" s="1" customFormat="1" ht="12.75">
      <c r="C39" s="3"/>
      <c r="D39" s="7">
        <f t="shared" si="0"/>
        <v>0.04</v>
      </c>
      <c r="E39" s="7">
        <f t="shared" si="2"/>
        <v>8.409583586756806</v>
      </c>
      <c r="F39" s="7">
        <f t="shared" si="3"/>
        <v>0.13845643594988433</v>
      </c>
      <c r="G39" s="7">
        <f t="shared" si="4"/>
        <v>466345.6793822036</v>
      </c>
      <c r="H39" s="62">
        <f t="shared" si="5"/>
        <v>6.387973538032643</v>
      </c>
      <c r="I39" s="63">
        <f t="shared" si="6"/>
        <v>0.009581960307048965</v>
      </c>
      <c r="J39" s="7">
        <f t="shared" si="7"/>
        <v>246361.92919821065</v>
      </c>
      <c r="K39" s="7">
        <f t="shared" si="8"/>
        <v>1</v>
      </c>
      <c r="L39" s="7">
        <f t="shared" si="9"/>
        <v>246361.92919821065</v>
      </c>
      <c r="M39" s="7">
        <f t="shared" si="10"/>
        <v>4.049580096674264</v>
      </c>
      <c r="N39" s="7">
        <f t="shared" si="11"/>
        <v>291.8406737891823</v>
      </c>
      <c r="O39" s="7">
        <f t="shared" si="12"/>
        <v>19.113934151452884</v>
      </c>
      <c r="P39" s="7">
        <f t="shared" si="13"/>
        <v>8.038997663783103</v>
      </c>
      <c r="Q39" s="7">
        <f t="shared" si="14"/>
        <v>27.152931815235988</v>
      </c>
      <c r="R39" s="7">
        <f t="shared" si="15"/>
        <v>0.10220675074874233</v>
      </c>
      <c r="S39" s="7">
        <f t="shared" si="1"/>
        <v>27.050725064487246</v>
      </c>
      <c r="T39" s="7">
        <f t="shared" si="16"/>
        <v>154.9457058272878</v>
      </c>
      <c r="U39" s="6">
        <f t="shared" si="17"/>
        <v>-0.4366294321551689</v>
      </c>
      <c r="V39" s="7">
        <f t="shared" si="18"/>
        <v>-44625.78737217657</v>
      </c>
      <c r="W39" s="7">
        <f t="shared" si="19"/>
        <v>1.5494570582728782</v>
      </c>
      <c r="X39" s="7">
        <f t="shared" si="20"/>
        <v>0.08409583586756807</v>
      </c>
    </row>
    <row r="40" spans="3:24" s="1" customFormat="1" ht="12.75">
      <c r="C40" s="3"/>
      <c r="D40" s="7">
        <f t="shared" si="0"/>
        <v>0.05</v>
      </c>
      <c r="E40" s="7">
        <f t="shared" si="2"/>
        <v>9.959040645029685</v>
      </c>
      <c r="F40" s="7">
        <f t="shared" si="3"/>
        <v>0.2225522718174524</v>
      </c>
      <c r="G40" s="7">
        <f t="shared" si="4"/>
        <v>421719.892010027</v>
      </c>
      <c r="H40" s="62">
        <f t="shared" si="5"/>
        <v>5.9513441058774745</v>
      </c>
      <c r="I40" s="63">
        <f t="shared" si="6"/>
        <v>0.008927016158816211</v>
      </c>
      <c r="J40" s="7">
        <f t="shared" si="7"/>
        <v>222786.9384669507</v>
      </c>
      <c r="K40" s="7">
        <f t="shared" si="8"/>
        <v>1</v>
      </c>
      <c r="L40" s="7">
        <f t="shared" si="9"/>
        <v>222786.9384669507</v>
      </c>
      <c r="M40" s="7">
        <f t="shared" si="10"/>
        <v>3.7727840442876235</v>
      </c>
      <c r="N40" s="7">
        <f t="shared" si="11"/>
        <v>287.52651947258784</v>
      </c>
      <c r="O40" s="7">
        <f t="shared" si="12"/>
        <v>17.284873866347404</v>
      </c>
      <c r="P40" s="7">
        <f t="shared" si="13"/>
        <v>6.7325260315649045</v>
      </c>
      <c r="Q40" s="7">
        <f t="shared" si="14"/>
        <v>24.01739989791231</v>
      </c>
      <c r="R40" s="7">
        <f t="shared" si="15"/>
        <v>0.14333940861928474</v>
      </c>
      <c r="S40" s="7">
        <f t="shared" si="1"/>
        <v>23.874060489293026</v>
      </c>
      <c r="T40" s="7">
        <f t="shared" si="16"/>
        <v>137.26481955795265</v>
      </c>
      <c r="U40" s="6">
        <f t="shared" si="17"/>
        <v>-0.4007717015240469</v>
      </c>
      <c r="V40" s="7">
        <f t="shared" si="18"/>
        <v>-39758.876978508495</v>
      </c>
      <c r="W40" s="7">
        <f t="shared" si="19"/>
        <v>1.3726481955795264</v>
      </c>
      <c r="X40" s="7">
        <f t="shared" si="20"/>
        <v>0.09959040645029685</v>
      </c>
    </row>
    <row r="41" spans="3:24" s="1" customFormat="1" ht="12.75">
      <c r="C41" s="3"/>
      <c r="D41" s="7">
        <f t="shared" si="0"/>
        <v>0.060000000000000005</v>
      </c>
      <c r="E41" s="7">
        <f t="shared" si="2"/>
        <v>11.33168884060921</v>
      </c>
      <c r="F41" s="7">
        <f t="shared" si="3"/>
        <v>0.3221426782677492</v>
      </c>
      <c r="G41" s="7">
        <f t="shared" si="4"/>
        <v>381961.01503151853</v>
      </c>
      <c r="H41" s="62">
        <f t="shared" si="5"/>
        <v>5.550572404353428</v>
      </c>
      <c r="I41" s="63">
        <f t="shared" si="6"/>
        <v>0.008325858606530142</v>
      </c>
      <c r="J41" s="7">
        <f t="shared" si="7"/>
        <v>201783.04785911704</v>
      </c>
      <c r="K41" s="7">
        <f t="shared" si="8"/>
        <v>1</v>
      </c>
      <c r="L41" s="7">
        <f t="shared" si="9"/>
        <v>201783.04785911704</v>
      </c>
      <c r="M41" s="7">
        <f t="shared" si="10"/>
        <v>3.518719575150531</v>
      </c>
      <c r="N41" s="7">
        <f t="shared" si="11"/>
        <v>283.3440049052627</v>
      </c>
      <c r="O41" s="7">
        <f t="shared" si="12"/>
        <v>15.655291798578109</v>
      </c>
      <c r="P41" s="7">
        <f t="shared" si="13"/>
        <v>5.568538840301124</v>
      </c>
      <c r="Q41" s="7">
        <f t="shared" si="14"/>
        <v>21.22383063887923</v>
      </c>
      <c r="R41" s="7">
        <f t="shared" si="15"/>
        <v>0.18557517550210398</v>
      </c>
      <c r="S41" s="7">
        <f t="shared" si="1"/>
        <v>21.038255463377126</v>
      </c>
      <c r="T41" s="7">
        <f t="shared" si="16"/>
        <v>121.37978506217247</v>
      </c>
      <c r="U41" s="6">
        <f t="shared" si="17"/>
        <v>-0.36834593350728145</v>
      </c>
      <c r="V41" s="7">
        <f t="shared" si="18"/>
        <v>-35486.66460935708</v>
      </c>
      <c r="W41" s="7">
        <f t="shared" si="19"/>
        <v>1.2137978506217248</v>
      </c>
      <c r="X41" s="7">
        <f t="shared" si="20"/>
        <v>0.11331688840609211</v>
      </c>
    </row>
    <row r="42" spans="3:24" s="1" customFormat="1" ht="12.75">
      <c r="C42" s="3"/>
      <c r="D42" s="7">
        <f t="shared" si="0"/>
        <v>0.07</v>
      </c>
      <c r="E42" s="7">
        <f t="shared" si="2"/>
        <v>12.545486691230936</v>
      </c>
      <c r="F42" s="7">
        <f t="shared" si="3"/>
        <v>0.43545956667384134</v>
      </c>
      <c r="G42" s="7">
        <f t="shared" si="4"/>
        <v>346474.35042216146</v>
      </c>
      <c r="H42" s="62">
        <f t="shared" si="5"/>
        <v>5.182226470846146</v>
      </c>
      <c r="I42" s="63">
        <f t="shared" si="6"/>
        <v>0.007773339706269219</v>
      </c>
      <c r="J42" s="7">
        <f t="shared" si="7"/>
        <v>183036.08923916612</v>
      </c>
      <c r="K42" s="7">
        <f t="shared" si="8"/>
        <v>1</v>
      </c>
      <c r="L42" s="7">
        <f t="shared" si="9"/>
        <v>183036.08923916612</v>
      </c>
      <c r="M42" s="7">
        <f t="shared" si="10"/>
        <v>3.2852110372486374</v>
      </c>
      <c r="N42" s="7">
        <f t="shared" si="11"/>
        <v>279.28701557358045</v>
      </c>
      <c r="O42" s="7">
        <f t="shared" si="12"/>
        <v>14.20081328492164</v>
      </c>
      <c r="P42" s="7">
        <f t="shared" si="13"/>
        <v>4.529625616260788</v>
      </c>
      <c r="Q42" s="7">
        <f t="shared" si="14"/>
        <v>18.730438901182428</v>
      </c>
      <c r="R42" s="7">
        <f t="shared" si="15"/>
        <v>0.22746031005697917</v>
      </c>
      <c r="S42" s="7">
        <f t="shared" si="1"/>
        <v>18.502978591125448</v>
      </c>
      <c r="T42" s="7">
        <f t="shared" si="16"/>
        <v>107.09394529608697</v>
      </c>
      <c r="U42" s="6">
        <f t="shared" si="17"/>
        <v>-0.33897776583602807</v>
      </c>
      <c r="V42" s="7">
        <f t="shared" si="18"/>
        <v>-31728.822088507353</v>
      </c>
      <c r="W42" s="7">
        <f t="shared" si="19"/>
        <v>1.0709394529608698</v>
      </c>
      <c r="X42" s="7">
        <f t="shared" si="20"/>
        <v>0.12545486691230937</v>
      </c>
    </row>
    <row r="43" spans="3:24" s="1" customFormat="1" ht="12.75">
      <c r="C43" s="3"/>
      <c r="D43" s="7">
        <f t="shared" si="0"/>
        <v>0.08</v>
      </c>
      <c r="E43" s="7">
        <f t="shared" si="2"/>
        <v>13.616426144191806</v>
      </c>
      <c r="F43" s="7">
        <f t="shared" si="3"/>
        <v>0.5609144335861507</v>
      </c>
      <c r="G43" s="7">
        <f t="shared" si="4"/>
        <v>314745.5283336541</v>
      </c>
      <c r="H43" s="62">
        <f t="shared" si="5"/>
        <v>4.843248705010118</v>
      </c>
      <c r="I43" s="63">
        <f t="shared" si="6"/>
        <v>0.007264873057515177</v>
      </c>
      <c r="J43" s="7">
        <f t="shared" si="7"/>
        <v>166274.3303840893</v>
      </c>
      <c r="K43" s="7">
        <f t="shared" si="8"/>
        <v>1</v>
      </c>
      <c r="L43" s="7">
        <f t="shared" si="9"/>
        <v>166274.3303840893</v>
      </c>
      <c r="M43" s="7">
        <f t="shared" si="10"/>
        <v>3.0703201010899606</v>
      </c>
      <c r="N43" s="7">
        <f t="shared" si="11"/>
        <v>275.3498179344839</v>
      </c>
      <c r="O43" s="7">
        <f t="shared" si="12"/>
        <v>12.900356042761043</v>
      </c>
      <c r="P43" s="7">
        <f t="shared" si="13"/>
        <v>3.6007275861460717</v>
      </c>
      <c r="Q43" s="7">
        <f t="shared" si="14"/>
        <v>16.501083628907114</v>
      </c>
      <c r="R43" s="7">
        <f t="shared" si="15"/>
        <v>0.2679519168802172</v>
      </c>
      <c r="S43" s="7">
        <f t="shared" si="1"/>
        <v>16.233131712026896</v>
      </c>
      <c r="T43" s="7">
        <f t="shared" si="16"/>
        <v>94.2335568703379</v>
      </c>
      <c r="U43" s="6">
        <f t="shared" si="17"/>
        <v>-0.31233858901214223</v>
      </c>
      <c r="V43" s="7">
        <f t="shared" si="18"/>
        <v>-28416.88550131417</v>
      </c>
      <c r="W43" s="7">
        <f t="shared" si="19"/>
        <v>0.9423355687033791</v>
      </c>
      <c r="X43" s="7">
        <f t="shared" si="20"/>
        <v>0.13616426144191807</v>
      </c>
    </row>
    <row r="44" spans="3:24" s="1" customFormat="1" ht="12.75">
      <c r="C44" s="3"/>
      <c r="D44" s="7">
        <f t="shared" si="0"/>
        <v>0.09</v>
      </c>
      <c r="E44" s="7">
        <f t="shared" si="2"/>
        <v>14.558761712895185</v>
      </c>
      <c r="F44" s="7">
        <f t="shared" si="3"/>
        <v>0.6970786950280687</v>
      </c>
      <c r="G44" s="7">
        <f t="shared" si="4"/>
        <v>286328.6428323399</v>
      </c>
      <c r="H44" s="62">
        <f t="shared" si="5"/>
        <v>4.530910115997975</v>
      </c>
      <c r="I44" s="63">
        <f t="shared" si="6"/>
        <v>0.006796365173996963</v>
      </c>
      <c r="J44" s="7">
        <f t="shared" si="7"/>
        <v>151262.20731010078</v>
      </c>
      <c r="K44" s="7">
        <f t="shared" si="8"/>
        <v>1</v>
      </c>
      <c r="L44" s="7">
        <f t="shared" si="9"/>
        <v>151262.20731010078</v>
      </c>
      <c r="M44" s="7">
        <f t="shared" si="10"/>
        <v>2.872316755278287</v>
      </c>
      <c r="N44" s="7">
        <f t="shared" si="11"/>
        <v>271.5270297213245</v>
      </c>
      <c r="O44" s="7">
        <f t="shared" si="12"/>
        <v>11.735643894079722</v>
      </c>
      <c r="P44" s="7">
        <f t="shared" si="13"/>
        <v>2.768790337087987</v>
      </c>
      <c r="Q44" s="7">
        <f t="shared" si="14"/>
        <v>14.504434231167709</v>
      </c>
      <c r="R44" s="7">
        <f t="shared" si="15"/>
        <v>0.30632290675620905</v>
      </c>
      <c r="S44" s="7">
        <f t="shared" si="1"/>
        <v>14.1981113244115</v>
      </c>
      <c r="T44" s="7">
        <f t="shared" si="16"/>
        <v>82.64500421782219</v>
      </c>
      <c r="U44" s="6">
        <f t="shared" si="17"/>
        <v>-0.2881393651336623</v>
      </c>
      <c r="V44" s="7">
        <f t="shared" si="18"/>
        <v>-25492.35622741332</v>
      </c>
      <c r="W44" s="7">
        <f t="shared" si="19"/>
        <v>0.8264500421782219</v>
      </c>
      <c r="X44" s="7">
        <f t="shared" si="20"/>
        <v>0.14558761712895185</v>
      </c>
    </row>
    <row r="45" spans="3:24" s="1" customFormat="1" ht="12.75">
      <c r="C45" s="3"/>
      <c r="D45" s="7">
        <f t="shared" si="0"/>
        <v>0.09999999999999999</v>
      </c>
      <c r="E45" s="7">
        <f t="shared" si="2"/>
        <v>15.385211755073406</v>
      </c>
      <c r="F45" s="7">
        <f t="shared" si="3"/>
        <v>0.8426663121570206</v>
      </c>
      <c r="G45" s="7">
        <f t="shared" si="4"/>
        <v>260836.2866049266</v>
      </c>
      <c r="H45" s="62">
        <f t="shared" si="5"/>
        <v>4.242770750864313</v>
      </c>
      <c r="I45" s="63">
        <f t="shared" si="6"/>
        <v>0.00636415612629647</v>
      </c>
      <c r="J45" s="7">
        <f t="shared" si="7"/>
        <v>137795.05978915983</v>
      </c>
      <c r="K45" s="7">
        <f t="shared" si="8"/>
        <v>1</v>
      </c>
      <c r="L45" s="7">
        <f t="shared" si="9"/>
        <v>137795.05978915983</v>
      </c>
      <c r="M45" s="7">
        <f t="shared" si="10"/>
        <v>2.689654220568884</v>
      </c>
      <c r="N45" s="7">
        <f t="shared" si="11"/>
        <v>267.8135930196843</v>
      </c>
      <c r="O45" s="7">
        <f t="shared" si="12"/>
        <v>10.690798321710183</v>
      </c>
      <c r="P45" s="7">
        <f t="shared" si="13"/>
        <v>2.0224720711097475</v>
      </c>
      <c r="Q45" s="7">
        <f t="shared" si="14"/>
        <v>12.71327039281993</v>
      </c>
      <c r="R45" s="7">
        <f t="shared" si="15"/>
        <v>0.34208777538752033</v>
      </c>
      <c r="S45" s="7">
        <f t="shared" si="1"/>
        <v>12.37118261743241</v>
      </c>
      <c r="T45" s="7">
        <f t="shared" si="16"/>
        <v>72.19235864187823</v>
      </c>
      <c r="U45" s="6">
        <f t="shared" si="17"/>
        <v>-0.26612535983624525</v>
      </c>
      <c r="V45" s="7">
        <f t="shared" si="18"/>
        <v>-22905.12888628812</v>
      </c>
      <c r="W45" s="7">
        <f t="shared" si="19"/>
        <v>0.7219235864187823</v>
      </c>
      <c r="X45" s="7">
        <f t="shared" si="20"/>
        <v>0.15385211755073408</v>
      </c>
    </row>
    <row r="46" spans="3:24" ht="12.75">
      <c r="C46" s="10"/>
      <c r="D46" s="7">
        <f t="shared" si="0"/>
        <v>0.10999999999999999</v>
      </c>
      <c r="E46" s="7">
        <f t="shared" si="2"/>
        <v>16.10713534149219</v>
      </c>
      <c r="F46" s="7">
        <f t="shared" si="3"/>
        <v>0.9965184297077547</v>
      </c>
      <c r="G46" s="7">
        <f t="shared" si="4"/>
        <v>237931.15771863848</v>
      </c>
      <c r="H46" s="62">
        <f t="shared" si="5"/>
        <v>3.9766453910280677</v>
      </c>
      <c r="I46" s="63">
        <f t="shared" si="6"/>
        <v>0.005964968086542102</v>
      </c>
      <c r="J46" s="7">
        <f t="shared" si="7"/>
        <v>125694.69735321926</v>
      </c>
      <c r="K46" s="7">
        <f t="shared" si="8"/>
        <v>1</v>
      </c>
      <c r="L46" s="7">
        <f t="shared" si="9"/>
        <v>125694.69735321926</v>
      </c>
      <c r="M46" s="7">
        <f t="shared" si="10"/>
        <v>2.5209472035474825</v>
      </c>
      <c r="N46" s="7">
        <f t="shared" si="11"/>
        <v>264.20474981323656</v>
      </c>
      <c r="O46" s="7">
        <f t="shared" si="12"/>
        <v>9.751994458783779</v>
      </c>
      <c r="P46" s="7">
        <f t="shared" si="13"/>
        <v>1.3518978833051714</v>
      </c>
      <c r="Q46" s="7">
        <f t="shared" si="14"/>
        <v>11.103892342088951</v>
      </c>
      <c r="R46" s="7">
        <f t="shared" si="15"/>
        <v>0.3749446960634012</v>
      </c>
      <c r="S46" s="7">
        <f t="shared" si="1"/>
        <v>10.72894764602555</v>
      </c>
      <c r="T46" s="7">
        <f t="shared" si="16"/>
        <v>62.75524024661344</v>
      </c>
      <c r="U46" s="6">
        <f t="shared" si="17"/>
        <v>-0.24607164117166347</v>
      </c>
      <c r="V46" s="7">
        <f t="shared" si="18"/>
        <v>-20612.1860493043</v>
      </c>
      <c r="W46" s="7">
        <f t="shared" si="19"/>
        <v>0.6275524024661344</v>
      </c>
      <c r="X46" s="7">
        <f t="shared" si="20"/>
        <v>0.1610713534149219</v>
      </c>
    </row>
    <row r="47" spans="3:26" ht="12.75">
      <c r="C47" s="10"/>
      <c r="D47" s="7">
        <f t="shared" si="0"/>
        <v>0.11999999999999998</v>
      </c>
      <c r="E47" s="7">
        <f t="shared" si="2"/>
        <v>16.73468774395832</v>
      </c>
      <c r="F47" s="7">
        <f t="shared" si="3"/>
        <v>1.1575897831226767</v>
      </c>
      <c r="G47" s="7">
        <f t="shared" si="4"/>
        <v>217318.9716693342</v>
      </c>
      <c r="H47" s="62">
        <f t="shared" si="5"/>
        <v>3.730573749856404</v>
      </c>
      <c r="I47" s="63">
        <f t="shared" si="6"/>
        <v>0.005595860624784606</v>
      </c>
      <c r="J47" s="7">
        <f t="shared" si="7"/>
        <v>114805.65485833379</v>
      </c>
      <c r="K47" s="7">
        <f t="shared" si="8"/>
        <v>1</v>
      </c>
      <c r="L47" s="7">
        <f t="shared" si="9"/>
        <v>114805.65485833379</v>
      </c>
      <c r="M47" s="7">
        <f t="shared" si="10"/>
        <v>2.364953003741884</v>
      </c>
      <c r="N47" s="7">
        <f t="shared" si="11"/>
        <v>260.6960197365716</v>
      </c>
      <c r="O47" s="7">
        <f t="shared" si="12"/>
        <v>8.907170577525081</v>
      </c>
      <c r="P47" s="7">
        <f t="shared" si="13"/>
        <v>0.7484522538346717</v>
      </c>
      <c r="Q47" s="7">
        <f t="shared" si="14"/>
        <v>9.655622831359752</v>
      </c>
      <c r="R47" s="7">
        <f t="shared" si="15"/>
        <v>0.40473039891018553</v>
      </c>
      <c r="S47" s="7">
        <f t="shared" si="1"/>
        <v>9.250892432449566</v>
      </c>
      <c r="T47" s="7">
        <f t="shared" si="16"/>
        <v>54.22694547551978</v>
      </c>
      <c r="U47" s="6">
        <f t="shared" si="17"/>
        <v>-0.22777922441433535</v>
      </c>
      <c r="V47" s="7">
        <f t="shared" si="18"/>
        <v>-18576.511333403905</v>
      </c>
      <c r="W47" s="7">
        <f t="shared" si="19"/>
        <v>0.5422694547551978</v>
      </c>
      <c r="X47" s="7">
        <f t="shared" si="20"/>
        <v>0.1673468774395832</v>
      </c>
      <c r="Y47" s="6"/>
      <c r="Z47" s="6"/>
    </row>
    <row r="48" spans="4:24" ht="12.75">
      <c r="D48" s="7">
        <f t="shared" si="0"/>
        <v>0.12999999999999998</v>
      </c>
      <c r="E48" s="7">
        <f aca="true" t="shared" si="21" ref="E48:E57">E47+W47</f>
        <v>17.276957198713518</v>
      </c>
      <c r="F48" s="7">
        <f aca="true" t="shared" si="22" ref="F48:F57">F47+X47</f>
        <v>1.32493666056226</v>
      </c>
      <c r="G48" s="7">
        <f aca="true" t="shared" si="23" ref="G48:G57">IF((G47+V47)&lt;=$E$7,$E$7,G47+V47)</f>
        <v>198742.4603359303</v>
      </c>
      <c r="H48" s="62">
        <f aca="true" t="shared" si="24" ref="H48:H57">H47+U47</f>
        <v>3.5027945254420687</v>
      </c>
      <c r="I48" s="63">
        <f t="shared" si="6"/>
        <v>0.005254191788163103</v>
      </c>
      <c r="J48" s="7">
        <f aca="true" t="shared" si="25" ref="J48:J57">G48*$E$13</f>
        <v>104992.02224157483</v>
      </c>
      <c r="K48" s="7">
        <f aca="true" t="shared" si="26" ref="K48:K57">IF(J48&gt;$E$7,1,0)</f>
        <v>1</v>
      </c>
      <c r="L48" s="7">
        <f aca="true" t="shared" si="27" ref="L48:L57">IF(K48=1,J48,$E$7)</f>
        <v>104992.02224157483</v>
      </c>
      <c r="M48" s="7">
        <f aca="true" t="shared" si="28" ref="M48:M57">H48*(L48/G48)^(1/$E$11)</f>
        <v>2.22055506468776</v>
      </c>
      <c r="N48" s="7">
        <f aca="true" t="shared" si="29" ref="N48:N57">SQRT(2*$E$11/($E$11-1)*G48/H48*(1-(L48/G48)^(($E$11-1)/$E$11)))</f>
        <v>257.2831798037253</v>
      </c>
      <c r="O48" s="7">
        <f aca="true" t="shared" si="30" ref="O48:O57">M48*$E$14*N48^2</f>
        <v>8.145782126664376</v>
      </c>
      <c r="P48" s="7">
        <f aca="true" t="shared" si="31" ref="P48:P57">IF(L48&gt;$E$7,$E$14*(L48-$E$7),0)</f>
        <v>0.20460336036273757</v>
      </c>
      <c r="Q48" s="7">
        <f aca="true" t="shared" si="32" ref="Q48:Q57">O48+P48</f>
        <v>8.350385487027113</v>
      </c>
      <c r="R48" s="7">
        <f aca="true" t="shared" si="33" ref="R48:R57">$E$12*$E$9/2*E48^2*$E$17</f>
        <v>0.4313850730391731</v>
      </c>
      <c r="S48" s="7">
        <f t="shared" si="1"/>
        <v>7.9190004139879395</v>
      </c>
      <c r="T48" s="7">
        <f aca="true" t="shared" si="34" ref="T48:T57">S48/($E$15+I48)</f>
        <v>46.51280729605217</v>
      </c>
      <c r="U48" s="6">
        <f aca="true" t="shared" si="35" ref="U48:U57">-M48*$E$14*N48*$E$19/$E$16</f>
        <v>-0.2110717623250402</v>
      </c>
      <c r="V48" s="7">
        <f aca="true" t="shared" si="36" ref="V48:V57">$E$11*G48*U48/H48</f>
        <v>-16766.181820292495</v>
      </c>
      <c r="W48" s="7">
        <f aca="true" t="shared" si="37" ref="W48:W57">T48*$E$19</f>
        <v>0.4651280729605217</v>
      </c>
      <c r="X48" s="7">
        <f aca="true" t="shared" si="38" ref="X48:X57">E48*$E$19</f>
        <v>0.1727695719871352</v>
      </c>
    </row>
    <row r="49" spans="4:24" ht="12.75">
      <c r="D49" s="7">
        <f t="shared" si="0"/>
        <v>0.13999999999999999</v>
      </c>
      <c r="E49" s="7">
        <f t="shared" si="21"/>
        <v>17.74208527167404</v>
      </c>
      <c r="F49" s="7">
        <f t="shared" si="22"/>
        <v>1.497706232549395</v>
      </c>
      <c r="G49" s="7">
        <f t="shared" si="23"/>
        <v>181976.2785156378</v>
      </c>
      <c r="H49" s="62">
        <f t="shared" si="24"/>
        <v>3.2917227631170283</v>
      </c>
      <c r="I49" s="63">
        <f t="shared" si="6"/>
        <v>0.0049375841446755424</v>
      </c>
      <c r="J49" s="7">
        <f t="shared" si="25"/>
        <v>96134.75373635952</v>
      </c>
      <c r="K49" s="7">
        <f t="shared" si="26"/>
        <v>0</v>
      </c>
      <c r="L49" s="7">
        <f t="shared" si="27"/>
        <v>101299.99999999999</v>
      </c>
      <c r="M49" s="7">
        <f t="shared" si="28"/>
        <v>2.166232937968606</v>
      </c>
      <c r="N49" s="7">
        <f t="shared" si="29"/>
        <v>244.209915405786</v>
      </c>
      <c r="O49" s="7">
        <f t="shared" si="30"/>
        <v>7.159458812516454</v>
      </c>
      <c r="P49" s="7">
        <f t="shared" si="31"/>
        <v>0</v>
      </c>
      <c r="Q49" s="7">
        <f t="shared" si="32"/>
        <v>7.159458812516454</v>
      </c>
      <c r="R49" s="7">
        <f t="shared" si="33"/>
        <v>0.4549251250431838</v>
      </c>
      <c r="S49" s="7">
        <f t="shared" si="1"/>
        <v>6.70453368747327</v>
      </c>
      <c r="T49" s="7">
        <f t="shared" si="34"/>
        <v>39.452918677279754</v>
      </c>
      <c r="U49" s="6">
        <f t="shared" si="35"/>
        <v>-0.1954454852394806</v>
      </c>
      <c r="V49" s="7">
        <f t="shared" si="36"/>
        <v>-15126.735288010315</v>
      </c>
      <c r="W49" s="7">
        <f t="shared" si="37"/>
        <v>0.3945291867727976</v>
      </c>
      <c r="X49" s="7">
        <f t="shared" si="38"/>
        <v>0.1774208527167404</v>
      </c>
    </row>
    <row r="50" spans="4:24" ht="12.75">
      <c r="D50" s="7">
        <f t="shared" si="0"/>
        <v>0.15</v>
      </c>
      <c r="E50" s="7">
        <f t="shared" si="21"/>
        <v>18.136614458446836</v>
      </c>
      <c r="F50" s="7">
        <f t="shared" si="22"/>
        <v>1.6751270852661355</v>
      </c>
      <c r="G50" s="7">
        <f t="shared" si="23"/>
        <v>166849.54322762747</v>
      </c>
      <c r="H50" s="62">
        <f t="shared" si="24"/>
        <v>3.096277277877548</v>
      </c>
      <c r="I50" s="63">
        <f t="shared" si="6"/>
        <v>0.0046444159168163215</v>
      </c>
      <c r="J50" s="7">
        <f t="shared" si="25"/>
        <v>88143.57497608497</v>
      </c>
      <c r="K50" s="7">
        <f t="shared" si="26"/>
        <v>0</v>
      </c>
      <c r="L50" s="7">
        <f t="shared" si="27"/>
        <v>101299.99999999999</v>
      </c>
      <c r="M50" s="7">
        <f t="shared" si="28"/>
        <v>2.167918768316004</v>
      </c>
      <c r="N50" s="7">
        <f t="shared" si="29"/>
        <v>223.87968889120333</v>
      </c>
      <c r="O50" s="7">
        <f t="shared" si="30"/>
        <v>6.02172402841976</v>
      </c>
      <c r="P50" s="7">
        <f t="shared" si="31"/>
        <v>0</v>
      </c>
      <c r="Q50" s="7">
        <f t="shared" si="32"/>
        <v>6.02172402841976</v>
      </c>
      <c r="R50" s="7">
        <f t="shared" si="33"/>
        <v>0.47538233636889743</v>
      </c>
      <c r="S50" s="7">
        <f t="shared" si="1"/>
        <v>5.546341692050862</v>
      </c>
      <c r="T50" s="7">
        <f t="shared" si="34"/>
        <v>32.69392430087685</v>
      </c>
      <c r="U50" s="6">
        <f t="shared" si="35"/>
        <v>-0.17931428730741417</v>
      </c>
      <c r="V50" s="7">
        <f t="shared" si="36"/>
        <v>-13527.829049184387</v>
      </c>
      <c r="W50" s="7">
        <f t="shared" si="37"/>
        <v>0.32693924300876853</v>
      </c>
      <c r="X50" s="7">
        <f t="shared" si="38"/>
        <v>0.18136614458446837</v>
      </c>
    </row>
    <row r="51" spans="4:24" ht="12.75">
      <c r="D51" s="7">
        <f t="shared" si="0"/>
        <v>0.16</v>
      </c>
      <c r="E51" s="7">
        <f t="shared" si="21"/>
        <v>18.463553701455606</v>
      </c>
      <c r="F51" s="7">
        <f t="shared" si="22"/>
        <v>1.8564932298506038</v>
      </c>
      <c r="G51" s="7">
        <f t="shared" si="23"/>
        <v>153321.71417844307</v>
      </c>
      <c r="H51" s="62">
        <f t="shared" si="24"/>
        <v>2.9169629905701338</v>
      </c>
      <c r="I51" s="63">
        <f t="shared" si="6"/>
        <v>0.004375444485855201</v>
      </c>
      <c r="J51" s="7">
        <f t="shared" si="25"/>
        <v>80997.06926204951</v>
      </c>
      <c r="K51" s="7">
        <f t="shared" si="26"/>
        <v>0</v>
      </c>
      <c r="L51" s="7">
        <f t="shared" si="27"/>
        <v>101299.99999999999</v>
      </c>
      <c r="M51" s="7">
        <f t="shared" si="28"/>
        <v>2.1695198018606523</v>
      </c>
      <c r="N51" s="7">
        <f t="shared" si="29"/>
        <v>202.70227381235762</v>
      </c>
      <c r="O51" s="7">
        <f t="shared" si="30"/>
        <v>4.940026888648413</v>
      </c>
      <c r="P51" s="7">
        <f t="shared" si="31"/>
        <v>0</v>
      </c>
      <c r="Q51" s="7">
        <f t="shared" si="32"/>
        <v>4.940026888648413</v>
      </c>
      <c r="R51" s="7">
        <f t="shared" si="33"/>
        <v>0.4926757501179354</v>
      </c>
      <c r="S51" s="7">
        <f t="shared" si="1"/>
        <v>4.447351138530478</v>
      </c>
      <c r="T51" s="7">
        <f t="shared" si="34"/>
        <v>26.257354789713233</v>
      </c>
      <c r="U51" s="6">
        <f t="shared" si="35"/>
        <v>-0.16247233921744814</v>
      </c>
      <c r="V51" s="7">
        <f t="shared" si="36"/>
        <v>-11955.843351562185</v>
      </c>
      <c r="W51" s="7">
        <f t="shared" si="37"/>
        <v>0.26257354789713233</v>
      </c>
      <c r="X51" s="7">
        <f t="shared" si="38"/>
        <v>0.18463553701455607</v>
      </c>
    </row>
    <row r="52" spans="4:24" ht="12.75">
      <c r="D52" s="7">
        <f t="shared" si="0"/>
        <v>0.17</v>
      </c>
      <c r="E52" s="7">
        <f t="shared" si="21"/>
        <v>18.72612724935274</v>
      </c>
      <c r="F52" s="7">
        <f t="shared" si="22"/>
        <v>2.04112876686516</v>
      </c>
      <c r="G52" s="7">
        <f t="shared" si="23"/>
        <v>141365.87082688088</v>
      </c>
      <c r="H52" s="62">
        <f t="shared" si="24"/>
        <v>2.7544906513526857</v>
      </c>
      <c r="I52" s="63">
        <f t="shared" si="6"/>
        <v>0.004131735977029029</v>
      </c>
      <c r="J52" s="7">
        <f t="shared" si="25"/>
        <v>74681.01496261975</v>
      </c>
      <c r="K52" s="7">
        <f t="shared" si="26"/>
        <v>0</v>
      </c>
      <c r="L52" s="7">
        <f t="shared" si="27"/>
        <v>101299.99999999999</v>
      </c>
      <c r="M52" s="7">
        <f t="shared" si="28"/>
        <v>2.170996227698921</v>
      </c>
      <c r="N52" s="7">
        <f t="shared" si="29"/>
        <v>180.63639367054066</v>
      </c>
      <c r="O52" s="7">
        <f t="shared" si="30"/>
        <v>3.925708340803926</v>
      </c>
      <c r="P52" s="7">
        <f t="shared" si="31"/>
        <v>0</v>
      </c>
      <c r="Q52" s="7">
        <f t="shared" si="32"/>
        <v>3.925708340803926</v>
      </c>
      <c r="R52" s="7">
        <f t="shared" si="33"/>
        <v>0.5067882523516745</v>
      </c>
      <c r="S52" s="7">
        <f t="shared" si="1"/>
        <v>3.4189200884522517</v>
      </c>
      <c r="T52" s="7">
        <f t="shared" si="34"/>
        <v>20.21453909109405</v>
      </c>
      <c r="U52" s="6">
        <f t="shared" si="35"/>
        <v>-0.14488436359301074</v>
      </c>
      <c r="V52" s="7">
        <f t="shared" si="36"/>
        <v>-10410.050186902115</v>
      </c>
      <c r="W52" s="7">
        <f t="shared" si="37"/>
        <v>0.2021453909109405</v>
      </c>
      <c r="X52" s="7">
        <f t="shared" si="38"/>
        <v>0.1872612724935274</v>
      </c>
    </row>
    <row r="53" spans="4:24" ht="12.75">
      <c r="D53" s="7">
        <f t="shared" si="0"/>
        <v>0.18000000000000002</v>
      </c>
      <c r="E53" s="7">
        <f t="shared" si="21"/>
        <v>18.92827264026368</v>
      </c>
      <c r="F53" s="7">
        <f t="shared" si="22"/>
        <v>2.228390039358687</v>
      </c>
      <c r="G53" s="7">
        <f t="shared" si="23"/>
        <v>130955.82063997877</v>
      </c>
      <c r="H53" s="62">
        <f t="shared" si="24"/>
        <v>2.609606287759675</v>
      </c>
      <c r="I53" s="63">
        <f t="shared" si="6"/>
        <v>0.003914409431639513</v>
      </c>
      <c r="J53" s="7">
        <f t="shared" si="25"/>
        <v>69181.5750396576</v>
      </c>
      <c r="K53" s="7">
        <f t="shared" si="26"/>
        <v>0</v>
      </c>
      <c r="L53" s="7">
        <f t="shared" si="27"/>
        <v>101299.99999999999</v>
      </c>
      <c r="M53" s="7">
        <f t="shared" si="28"/>
        <v>2.1723067954927266</v>
      </c>
      <c r="N53" s="7">
        <f t="shared" si="29"/>
        <v>157.63346073481796</v>
      </c>
      <c r="O53" s="7">
        <f t="shared" si="30"/>
        <v>2.9913445222072896</v>
      </c>
      <c r="P53" s="7">
        <f t="shared" si="31"/>
        <v>0</v>
      </c>
      <c r="Q53" s="7">
        <f t="shared" si="32"/>
        <v>2.9913445222072896</v>
      </c>
      <c r="R53" s="7">
        <f t="shared" si="33"/>
        <v>0.5177886952925703</v>
      </c>
      <c r="S53" s="7">
        <f t="shared" si="1"/>
        <v>2.473555826914719</v>
      </c>
      <c r="T53" s="7">
        <f t="shared" si="34"/>
        <v>14.6438414297377</v>
      </c>
      <c r="U53" s="6">
        <f t="shared" si="35"/>
        <v>-0.12651055633590125</v>
      </c>
      <c r="V53" s="7">
        <f t="shared" si="36"/>
        <v>-8888.011698628889</v>
      </c>
      <c r="W53" s="7">
        <f t="shared" si="37"/>
        <v>0.146438414297377</v>
      </c>
      <c r="X53" s="7">
        <f t="shared" si="38"/>
        <v>0.1892827264026368</v>
      </c>
    </row>
    <row r="54" spans="4:24" ht="12.75">
      <c r="D54" s="7">
        <f t="shared" si="0"/>
        <v>0.19000000000000003</v>
      </c>
      <c r="E54" s="7">
        <f t="shared" si="21"/>
        <v>19.074711054561057</v>
      </c>
      <c r="F54" s="7">
        <f t="shared" si="22"/>
        <v>2.4176727657613237</v>
      </c>
      <c r="G54" s="7">
        <f t="shared" si="23"/>
        <v>122067.80894134988</v>
      </c>
      <c r="H54" s="62">
        <f t="shared" si="24"/>
        <v>2.4830957314237736</v>
      </c>
      <c r="I54" s="63">
        <f t="shared" si="6"/>
        <v>0.0037246435971356605</v>
      </c>
      <c r="J54" s="7">
        <f t="shared" si="25"/>
        <v>64486.200330254775</v>
      </c>
      <c r="K54" s="7">
        <f t="shared" si="26"/>
        <v>0</v>
      </c>
      <c r="L54" s="7">
        <f t="shared" si="27"/>
        <v>101299.99999999999</v>
      </c>
      <c r="M54" s="7">
        <f t="shared" si="28"/>
        <v>2.1734129292249036</v>
      </c>
      <c r="N54" s="7">
        <f t="shared" si="29"/>
        <v>133.62493841630035</v>
      </c>
      <c r="O54" s="7">
        <f t="shared" si="30"/>
        <v>2.150630179683441</v>
      </c>
      <c r="P54" s="7">
        <f t="shared" si="31"/>
        <v>0</v>
      </c>
      <c r="Q54" s="7">
        <f t="shared" si="32"/>
        <v>2.150630179683441</v>
      </c>
      <c r="R54" s="7">
        <f t="shared" si="33"/>
        <v>0.5258314219989486</v>
      </c>
      <c r="S54" s="7">
        <f t="shared" si="1"/>
        <v>1.6247987576844924</v>
      </c>
      <c r="T54" s="7">
        <f t="shared" si="34"/>
        <v>9.629884070545314</v>
      </c>
      <c r="U54" s="6">
        <f t="shared" si="35"/>
        <v>-0.10729684669006338</v>
      </c>
      <c r="V54" s="7">
        <f t="shared" si="36"/>
        <v>-7384.526960612532</v>
      </c>
      <c r="W54" s="7">
        <f t="shared" si="37"/>
        <v>0.09629884070545314</v>
      </c>
      <c r="X54" s="7">
        <f t="shared" si="38"/>
        <v>0.19074711054561058</v>
      </c>
    </row>
    <row r="55" spans="4:24" ht="12.75">
      <c r="D55" s="7">
        <f t="shared" si="0"/>
        <v>0.20000000000000004</v>
      </c>
      <c r="E55" s="7">
        <f t="shared" si="21"/>
        <v>19.17100989526651</v>
      </c>
      <c r="F55" s="7">
        <f t="shared" si="22"/>
        <v>2.608419876306934</v>
      </c>
      <c r="G55" s="7">
        <f t="shared" si="23"/>
        <v>114683.28198073735</v>
      </c>
      <c r="H55" s="62">
        <f t="shared" si="24"/>
        <v>2.3757988847337104</v>
      </c>
      <c r="I55" s="63">
        <f t="shared" si="6"/>
        <v>0.0035636983271005655</v>
      </c>
      <c r="J55" s="7">
        <f t="shared" si="25"/>
        <v>60585.08922605671</v>
      </c>
      <c r="K55" s="7">
        <f t="shared" si="26"/>
        <v>0</v>
      </c>
      <c r="L55" s="7">
        <f t="shared" si="27"/>
        <v>101299.99999999999</v>
      </c>
      <c r="M55" s="7">
        <f t="shared" si="28"/>
        <v>2.1742843509249425</v>
      </c>
      <c r="N55" s="7">
        <f t="shared" si="29"/>
        <v>108.48929395458357</v>
      </c>
      <c r="O55" s="7">
        <f t="shared" si="30"/>
        <v>1.4182035211267117</v>
      </c>
      <c r="P55" s="7">
        <f t="shared" si="31"/>
        <v>0</v>
      </c>
      <c r="Q55" s="7">
        <f t="shared" si="32"/>
        <v>1.4182035211267117</v>
      </c>
      <c r="R55" s="7">
        <f t="shared" si="33"/>
        <v>0.5311541528913645</v>
      </c>
      <c r="S55" s="7">
        <f t="shared" si="1"/>
        <v>0.8870493682353472</v>
      </c>
      <c r="T55" s="7">
        <f t="shared" si="34"/>
        <v>5.262398589013</v>
      </c>
      <c r="U55" s="6">
        <f t="shared" si="35"/>
        <v>-0.08714860053198173</v>
      </c>
      <c r="V55" s="7">
        <f t="shared" si="36"/>
        <v>-5889.506317458588</v>
      </c>
      <c r="W55" s="7">
        <f t="shared" si="37"/>
        <v>0.05262398589013</v>
      </c>
      <c r="X55" s="7">
        <f t="shared" si="38"/>
        <v>0.1917100989526651</v>
      </c>
    </row>
    <row r="56" spans="4:24" ht="12.75">
      <c r="D56" s="7">
        <f t="shared" si="0"/>
        <v>0.21000000000000005</v>
      </c>
      <c r="E56" s="7">
        <f t="shared" si="21"/>
        <v>19.22363388115664</v>
      </c>
      <c r="F56" s="7">
        <f t="shared" si="22"/>
        <v>2.8001299752595994</v>
      </c>
      <c r="G56" s="7">
        <f t="shared" si="23"/>
        <v>108793.77566327876</v>
      </c>
      <c r="H56" s="62">
        <f t="shared" si="24"/>
        <v>2.2886502842017284</v>
      </c>
      <c r="I56" s="63">
        <f t="shared" si="6"/>
        <v>0.0034329754263025926</v>
      </c>
      <c r="J56" s="7">
        <f t="shared" si="25"/>
        <v>57473.7702998981</v>
      </c>
      <c r="K56" s="7">
        <f t="shared" si="26"/>
        <v>0</v>
      </c>
      <c r="L56" s="7">
        <f t="shared" si="27"/>
        <v>101299.99999999999</v>
      </c>
      <c r="M56" s="7">
        <f t="shared" si="28"/>
        <v>2.174905707486272</v>
      </c>
      <c r="N56" s="7">
        <f t="shared" si="29"/>
        <v>81.95360360181236</v>
      </c>
      <c r="O56" s="7">
        <f t="shared" si="30"/>
        <v>0.8095151782501749</v>
      </c>
      <c r="P56" s="7">
        <f t="shared" si="31"/>
        <v>0</v>
      </c>
      <c r="Q56" s="7">
        <f t="shared" si="32"/>
        <v>0.8095151782501749</v>
      </c>
      <c r="R56" s="7">
        <f t="shared" si="33"/>
        <v>0.5340741672093764</v>
      </c>
      <c r="S56" s="7">
        <f t="shared" si="1"/>
        <v>0.27544101104079854</v>
      </c>
      <c r="T56" s="7">
        <f t="shared" si="34"/>
        <v>1.6353152364829953</v>
      </c>
      <c r="U56" s="6">
        <f t="shared" si="35"/>
        <v>-0.06585150155473847</v>
      </c>
      <c r="V56" s="7">
        <f t="shared" si="36"/>
        <v>-4382.463739159332</v>
      </c>
      <c r="W56" s="7">
        <f t="shared" si="37"/>
        <v>0.016353152364829954</v>
      </c>
      <c r="X56" s="7">
        <f t="shared" si="38"/>
        <v>0.1922363388115664</v>
      </c>
    </row>
    <row r="57" spans="4:24" ht="12.75">
      <c r="D57" s="7">
        <f t="shared" si="0"/>
        <v>0.22000000000000006</v>
      </c>
      <c r="E57" s="7">
        <f t="shared" si="21"/>
        <v>19.23998703352147</v>
      </c>
      <c r="F57" s="7">
        <f t="shared" si="22"/>
        <v>2.9923663140711656</v>
      </c>
      <c r="G57" s="7">
        <f t="shared" si="23"/>
        <v>104411.31192411944</v>
      </c>
      <c r="H57" s="62">
        <f t="shared" si="24"/>
        <v>2.22279878264699</v>
      </c>
      <c r="I57" s="63">
        <f t="shared" si="6"/>
        <v>0.003334198173970485</v>
      </c>
      <c r="J57" s="7">
        <f t="shared" si="25"/>
        <v>55158.59452116932</v>
      </c>
      <c r="K57" s="7">
        <f t="shared" si="26"/>
        <v>0</v>
      </c>
      <c r="L57" s="7">
        <f t="shared" si="27"/>
        <v>101299.99999999999</v>
      </c>
      <c r="M57" s="7">
        <f t="shared" si="28"/>
        <v>2.175283110543862</v>
      </c>
      <c r="N57" s="7">
        <f t="shared" si="29"/>
        <v>53.195535583715404</v>
      </c>
      <c r="O57" s="7">
        <f t="shared" si="30"/>
        <v>0.3411258360434994</v>
      </c>
      <c r="P57" s="7">
        <f t="shared" si="31"/>
        <v>0</v>
      </c>
      <c r="Q57" s="7">
        <f t="shared" si="32"/>
        <v>0.3411258360434994</v>
      </c>
      <c r="R57" s="7">
        <f t="shared" si="33"/>
        <v>0.5349832056477349</v>
      </c>
      <c r="S57" s="7">
        <f t="shared" si="1"/>
        <v>-0.19385736960423555</v>
      </c>
      <c r="T57" s="7">
        <f t="shared" si="34"/>
        <v>-1.1516220215923523</v>
      </c>
      <c r="U57" s="6">
        <f t="shared" si="35"/>
        <v>-0.04275118607859608</v>
      </c>
      <c r="V57" s="7">
        <f t="shared" si="36"/>
        <v>-2811.406252098064</v>
      </c>
      <c r="W57" s="7">
        <f t="shared" si="37"/>
        <v>-0.011516220215923523</v>
      </c>
      <c r="X57" s="7">
        <f t="shared" si="38"/>
        <v>0.1923998703352147</v>
      </c>
    </row>
    <row r="58" spans="4:24" ht="12.75">
      <c r="D58" s="7">
        <f t="shared" si="0"/>
        <v>0.23000000000000007</v>
      </c>
      <c r="E58" s="7">
        <f aca="true" t="shared" si="39" ref="E58:E67">E57+W57</f>
        <v>19.228470813305545</v>
      </c>
      <c r="F58" s="7">
        <f aca="true" t="shared" si="40" ref="F58:F67">F57+X57</f>
        <v>3.18476618440638</v>
      </c>
      <c r="G58" s="7">
        <f aca="true" t="shared" si="41" ref="G58:G67">IF((G57+V57)&lt;=$E$7,$E$7,G57+V57)</f>
        <v>101599.90567202137</v>
      </c>
      <c r="H58" s="62">
        <f aca="true" t="shared" si="42" ref="H58:H67">H57+U57</f>
        <v>2.180047596568394</v>
      </c>
      <c r="I58" s="63">
        <f t="shared" si="6"/>
        <v>0.003270071394852591</v>
      </c>
      <c r="J58" s="7">
        <f aca="true" t="shared" si="43" ref="J58:J67">G58*$E$13</f>
        <v>53673.37980031171</v>
      </c>
      <c r="K58" s="7">
        <f aca="true" t="shared" si="44" ref="K58:K67">IF(J58&gt;$E$7,1,0)</f>
        <v>0</v>
      </c>
      <c r="L58" s="7">
        <f aca="true" t="shared" si="45" ref="L58:L67">IF(K58=1,J58,$E$7)</f>
        <v>101299.99999999999</v>
      </c>
      <c r="M58" s="7">
        <f aca="true" t="shared" si="46" ref="M58:M67">H58*(L58/G58)^(1/$E$11)</f>
        <v>2.1754491341055315</v>
      </c>
      <c r="N58" s="7">
        <f aca="true" t="shared" si="47" ref="N58:N67">SQRT(2*$E$11/($E$11-1)*G58/H58*(1-(L58/G58)^(($E$11-1)/$E$11)))</f>
        <v>16.596004265807863</v>
      </c>
      <c r="O58" s="7">
        <f aca="true" t="shared" si="48" ref="O58:O67">M58*$E$14*N58^2</f>
        <v>0.033205074753295774</v>
      </c>
      <c r="P58" s="7">
        <f aca="true" t="shared" si="49" ref="P58:P67">IF(L58&gt;$E$7,$E$14*(L58-$E$7),0)</f>
        <v>0</v>
      </c>
      <c r="Q58" s="7">
        <f aca="true" t="shared" si="50" ref="Q58:Q67">O58+P58</f>
        <v>0.033205074753295774</v>
      </c>
      <c r="R58" s="7">
        <f aca="true" t="shared" si="51" ref="R58:R67">$E$12*$E$9/2*E58^2*$E$17</f>
        <v>0.5343429619148726</v>
      </c>
      <c r="S58" s="7">
        <f t="shared" si="1"/>
        <v>-0.5011378871615768</v>
      </c>
      <c r="T58" s="7">
        <f aca="true" t="shared" si="52" ref="T58:T67">S58/($E$15+I58)</f>
        <v>-2.978175994147149</v>
      </c>
      <c r="U58" s="6">
        <f aca="true" t="shared" si="53" ref="U58:U67">-M58*$E$14*N58*$E$19/$E$16</f>
        <v>-0.013338582075328002</v>
      </c>
      <c r="V58" s="7">
        <f aca="true" t="shared" si="54" ref="V58:V67">$E$11*G58*U58/H58</f>
        <v>-870.2920779798917</v>
      </c>
      <c r="W58" s="7">
        <f aca="true" t="shared" si="55" ref="W58:W67">T58*$E$19</f>
        <v>-0.02978175994147149</v>
      </c>
      <c r="X58" s="7">
        <f aca="true" t="shared" si="56" ref="X58:X67">E58*$E$19</f>
        <v>0.19228470813305545</v>
      </c>
    </row>
    <row r="59" spans="4:24" ht="12.75">
      <c r="D59" s="7">
        <f t="shared" si="0"/>
        <v>0.24000000000000007</v>
      </c>
      <c r="E59" s="7">
        <f t="shared" si="39"/>
        <v>19.198689053364074</v>
      </c>
      <c r="F59" s="7">
        <f t="shared" si="40"/>
        <v>3.377050892539436</v>
      </c>
      <c r="G59" s="7">
        <f t="shared" si="41"/>
        <v>101299.99999999999</v>
      </c>
      <c r="H59" s="62">
        <f t="shared" si="42"/>
        <v>2.166709014493066</v>
      </c>
      <c r="I59" s="63">
        <f t="shared" si="6"/>
        <v>0.0032500635217395987</v>
      </c>
      <c r="J59" s="7">
        <f t="shared" si="43"/>
        <v>53514.94509574973</v>
      </c>
      <c r="K59" s="7">
        <f t="shared" si="44"/>
        <v>0</v>
      </c>
      <c r="L59" s="7">
        <f t="shared" si="45"/>
        <v>101299.99999999999</v>
      </c>
      <c r="M59" s="7">
        <f t="shared" si="46"/>
        <v>2.166709014493066</v>
      </c>
      <c r="N59" s="7">
        <f t="shared" si="47"/>
        <v>0</v>
      </c>
      <c r="O59" s="7">
        <f t="shared" si="48"/>
        <v>0</v>
      </c>
      <c r="P59" s="7">
        <f t="shared" si="49"/>
        <v>0</v>
      </c>
      <c r="Q59" s="7">
        <f t="shared" si="50"/>
        <v>0</v>
      </c>
      <c r="R59" s="7">
        <f t="shared" si="51"/>
        <v>0.5326890238423043</v>
      </c>
      <c r="S59" s="7">
        <f t="shared" si="1"/>
        <v>-0.5326890238423043</v>
      </c>
      <c r="T59" s="7">
        <f t="shared" si="52"/>
        <v>-3.166055409978942</v>
      </c>
      <c r="U59" s="6">
        <f t="shared" si="53"/>
        <v>0</v>
      </c>
      <c r="V59" s="7">
        <f t="shared" si="54"/>
        <v>0</v>
      </c>
      <c r="W59" s="7">
        <f t="shared" si="55"/>
        <v>-0.03166055409978942</v>
      </c>
      <c r="X59" s="7">
        <f t="shared" si="56"/>
        <v>0.19198689053364074</v>
      </c>
    </row>
    <row r="60" spans="4:24" ht="12.75">
      <c r="D60" s="7">
        <f t="shared" si="0"/>
        <v>0.25000000000000006</v>
      </c>
      <c r="E60" s="7">
        <f t="shared" si="39"/>
        <v>19.167028499264283</v>
      </c>
      <c r="F60" s="7">
        <f t="shared" si="40"/>
        <v>3.5690377830730764</v>
      </c>
      <c r="G60" s="7">
        <f t="shared" si="41"/>
        <v>101299.99999999999</v>
      </c>
      <c r="H60" s="62">
        <f t="shared" si="42"/>
        <v>2.166709014493066</v>
      </c>
      <c r="I60" s="63">
        <f t="shared" si="6"/>
        <v>0.0032500635217395987</v>
      </c>
      <c r="J60" s="7">
        <f t="shared" si="43"/>
        <v>53514.94509574973</v>
      </c>
      <c r="K60" s="7">
        <f t="shared" si="44"/>
        <v>0</v>
      </c>
      <c r="L60" s="7">
        <f t="shared" si="45"/>
        <v>101299.99999999999</v>
      </c>
      <c r="M60" s="7">
        <f t="shared" si="46"/>
        <v>2.166709014493066</v>
      </c>
      <c r="N60" s="7">
        <f t="shared" si="47"/>
        <v>0</v>
      </c>
      <c r="O60" s="7">
        <f t="shared" si="48"/>
        <v>0</v>
      </c>
      <c r="P60" s="7">
        <f t="shared" si="49"/>
        <v>0</v>
      </c>
      <c r="Q60" s="7">
        <f t="shared" si="50"/>
        <v>0</v>
      </c>
      <c r="R60" s="7">
        <f t="shared" si="51"/>
        <v>0.5309335577906865</v>
      </c>
      <c r="S60" s="7">
        <f t="shared" si="1"/>
        <v>-0.5309335577906865</v>
      </c>
      <c r="T60" s="7">
        <f t="shared" si="52"/>
        <v>-3.155621737534052</v>
      </c>
      <c r="U60" s="6">
        <f t="shared" si="53"/>
        <v>0</v>
      </c>
      <c r="V60" s="7">
        <f t="shared" si="54"/>
        <v>0</v>
      </c>
      <c r="W60" s="7">
        <f t="shared" si="55"/>
        <v>-0.03155621737534052</v>
      </c>
      <c r="X60" s="7">
        <f t="shared" si="56"/>
        <v>0.19167028499264283</v>
      </c>
    </row>
    <row r="61" spans="4:24" ht="12.75">
      <c r="D61" s="7">
        <f t="shared" si="0"/>
        <v>0.26000000000000006</v>
      </c>
      <c r="E61" s="7">
        <f t="shared" si="39"/>
        <v>19.135472281888944</v>
      </c>
      <c r="F61" s="7">
        <f t="shared" si="40"/>
        <v>3.7607080680657194</v>
      </c>
      <c r="G61" s="7">
        <f t="shared" si="41"/>
        <v>101299.99999999999</v>
      </c>
      <c r="H61" s="62">
        <f t="shared" si="42"/>
        <v>2.166709014493066</v>
      </c>
      <c r="I61" s="63">
        <f t="shared" si="6"/>
        <v>0.0032500635217395987</v>
      </c>
      <c r="J61" s="7">
        <f t="shared" si="43"/>
        <v>53514.94509574973</v>
      </c>
      <c r="K61" s="7">
        <f t="shared" si="44"/>
        <v>0</v>
      </c>
      <c r="L61" s="7">
        <f t="shared" si="45"/>
        <v>101299.99999999999</v>
      </c>
      <c r="M61" s="7">
        <f t="shared" si="46"/>
        <v>2.166709014493066</v>
      </c>
      <c r="N61" s="7">
        <f t="shared" si="47"/>
        <v>0</v>
      </c>
      <c r="O61" s="7">
        <f t="shared" si="48"/>
        <v>0</v>
      </c>
      <c r="P61" s="7">
        <f t="shared" si="49"/>
        <v>0</v>
      </c>
      <c r="Q61" s="7">
        <f t="shared" si="50"/>
        <v>0</v>
      </c>
      <c r="R61" s="7">
        <f t="shared" si="51"/>
        <v>0.5291867598637164</v>
      </c>
      <c r="S61" s="7">
        <f t="shared" si="1"/>
        <v>-0.5291867598637164</v>
      </c>
      <c r="T61" s="7">
        <f t="shared" si="52"/>
        <v>-3.1452395843841106</v>
      </c>
      <c r="U61" s="6">
        <f t="shared" si="53"/>
        <v>0</v>
      </c>
      <c r="V61" s="7">
        <f t="shared" si="54"/>
        <v>0</v>
      </c>
      <c r="W61" s="7">
        <f t="shared" si="55"/>
        <v>-0.03145239584384111</v>
      </c>
      <c r="X61" s="7">
        <f t="shared" si="56"/>
        <v>0.19135472281888943</v>
      </c>
    </row>
    <row r="62" spans="4:24" ht="12.75">
      <c r="D62" s="7">
        <f t="shared" si="0"/>
        <v>0.2700000000000001</v>
      </c>
      <c r="E62" s="7">
        <f t="shared" si="39"/>
        <v>19.1040198860451</v>
      </c>
      <c r="F62" s="7">
        <f t="shared" si="40"/>
        <v>3.952062790884609</v>
      </c>
      <c r="G62" s="7">
        <f t="shared" si="41"/>
        <v>101299.99999999999</v>
      </c>
      <c r="H62" s="62">
        <f t="shared" si="42"/>
        <v>2.166709014493066</v>
      </c>
      <c r="I62" s="63">
        <f t="shared" si="6"/>
        <v>0.0032500635217395987</v>
      </c>
      <c r="J62" s="7">
        <f t="shared" si="43"/>
        <v>53514.94509574973</v>
      </c>
      <c r="K62" s="7">
        <f t="shared" si="44"/>
        <v>0</v>
      </c>
      <c r="L62" s="7">
        <f t="shared" si="45"/>
        <v>101299.99999999999</v>
      </c>
      <c r="M62" s="7">
        <f t="shared" si="46"/>
        <v>2.166709014493066</v>
      </c>
      <c r="N62" s="7">
        <f t="shared" si="47"/>
        <v>0</v>
      </c>
      <c r="O62" s="7">
        <f t="shared" si="48"/>
        <v>0</v>
      </c>
      <c r="P62" s="7">
        <f t="shared" si="49"/>
        <v>0</v>
      </c>
      <c r="Q62" s="7">
        <f t="shared" si="50"/>
        <v>0</v>
      </c>
      <c r="R62" s="7">
        <f t="shared" si="51"/>
        <v>0.5274485730633023</v>
      </c>
      <c r="S62" s="7">
        <f t="shared" si="1"/>
        <v>-0.5274485730633023</v>
      </c>
      <c r="T62" s="7">
        <f t="shared" si="52"/>
        <v>-3.134908611759012</v>
      </c>
      <c r="U62" s="6">
        <f t="shared" si="53"/>
        <v>0</v>
      </c>
      <c r="V62" s="7">
        <f t="shared" si="54"/>
        <v>0</v>
      </c>
      <c r="W62" s="7">
        <f t="shared" si="55"/>
        <v>-0.03134908611759012</v>
      </c>
      <c r="X62" s="7">
        <f t="shared" si="56"/>
        <v>0.191040198860451</v>
      </c>
    </row>
    <row r="63" spans="4:24" ht="12.75">
      <c r="D63" s="7">
        <f t="shared" si="0"/>
        <v>0.2800000000000001</v>
      </c>
      <c r="E63" s="7">
        <f t="shared" si="39"/>
        <v>19.07267079992751</v>
      </c>
      <c r="F63" s="7">
        <f t="shared" si="40"/>
        <v>4.14310298974506</v>
      </c>
      <c r="G63" s="7">
        <f t="shared" si="41"/>
        <v>101299.99999999999</v>
      </c>
      <c r="H63" s="62">
        <f t="shared" si="42"/>
        <v>2.166709014493066</v>
      </c>
      <c r="I63" s="63">
        <f t="shared" si="6"/>
        <v>0.0032500635217395987</v>
      </c>
      <c r="J63" s="7">
        <f t="shared" si="43"/>
        <v>53514.94509574973</v>
      </c>
      <c r="K63" s="7">
        <f t="shared" si="44"/>
        <v>0</v>
      </c>
      <c r="L63" s="7">
        <f t="shared" si="45"/>
        <v>101299.99999999999</v>
      </c>
      <c r="M63" s="7">
        <f t="shared" si="46"/>
        <v>2.166709014493066</v>
      </c>
      <c r="N63" s="7">
        <f t="shared" si="47"/>
        <v>0</v>
      </c>
      <c r="O63" s="7">
        <f t="shared" si="48"/>
        <v>0</v>
      </c>
      <c r="P63" s="7">
        <f t="shared" si="49"/>
        <v>0</v>
      </c>
      <c r="Q63" s="7">
        <f t="shared" si="50"/>
        <v>0</v>
      </c>
      <c r="R63" s="7">
        <f t="shared" si="51"/>
        <v>0.5257189408592324</v>
      </c>
      <c r="S63" s="7">
        <f t="shared" si="1"/>
        <v>-0.5257189408592324</v>
      </c>
      <c r="T63" s="7">
        <f t="shared" si="52"/>
        <v>-3.124628483669513</v>
      </c>
      <c r="U63" s="6">
        <f t="shared" si="53"/>
        <v>0</v>
      </c>
      <c r="V63" s="7">
        <f t="shared" si="54"/>
        <v>0</v>
      </c>
      <c r="W63" s="7">
        <f t="shared" si="55"/>
        <v>-0.03124628483669513</v>
      </c>
      <c r="X63" s="7">
        <f t="shared" si="56"/>
        <v>0.19072670799927513</v>
      </c>
    </row>
    <row r="64" spans="4:24" ht="12.75">
      <c r="D64" s="7">
        <f t="shared" si="0"/>
        <v>0.2900000000000001</v>
      </c>
      <c r="E64" s="7">
        <f t="shared" si="39"/>
        <v>19.041424515090817</v>
      </c>
      <c r="F64" s="7">
        <f t="shared" si="40"/>
        <v>4.333829697744335</v>
      </c>
      <c r="G64" s="7">
        <f t="shared" si="41"/>
        <v>101299.99999999999</v>
      </c>
      <c r="H64" s="62">
        <f t="shared" si="42"/>
        <v>2.166709014493066</v>
      </c>
      <c r="I64" s="63">
        <f t="shared" si="6"/>
        <v>0.0032500635217395987</v>
      </c>
      <c r="J64" s="7">
        <f t="shared" si="43"/>
        <v>53514.94509574973</v>
      </c>
      <c r="K64" s="7">
        <f t="shared" si="44"/>
        <v>0</v>
      </c>
      <c r="L64" s="7">
        <f t="shared" si="45"/>
        <v>101299.99999999999</v>
      </c>
      <c r="M64" s="7">
        <f t="shared" si="46"/>
        <v>2.166709014493066</v>
      </c>
      <c r="N64" s="7">
        <f t="shared" si="47"/>
        <v>0</v>
      </c>
      <c r="O64" s="7">
        <f t="shared" si="48"/>
        <v>0</v>
      </c>
      <c r="P64" s="7">
        <f t="shared" si="49"/>
        <v>0</v>
      </c>
      <c r="Q64" s="7">
        <f t="shared" si="50"/>
        <v>0</v>
      </c>
      <c r="R64" s="7">
        <f t="shared" si="51"/>
        <v>0.5239978071845717</v>
      </c>
      <c r="S64" s="7">
        <f t="shared" si="1"/>
        <v>-0.5239978071845717</v>
      </c>
      <c r="T64" s="7">
        <f t="shared" si="52"/>
        <v>-3.1143988668798683</v>
      </c>
      <c r="U64" s="6">
        <f t="shared" si="53"/>
        <v>0</v>
      </c>
      <c r="V64" s="7">
        <f t="shared" si="54"/>
        <v>0</v>
      </c>
      <c r="W64" s="7">
        <f t="shared" si="55"/>
        <v>-0.031143988668798684</v>
      </c>
      <c r="X64" s="7">
        <f t="shared" si="56"/>
        <v>0.19041424515090818</v>
      </c>
    </row>
    <row r="65" spans="4:24" ht="12.75">
      <c r="D65" s="7">
        <f t="shared" si="0"/>
        <v>0.3000000000000001</v>
      </c>
      <c r="E65" s="7">
        <f t="shared" si="39"/>
        <v>19.01028052642202</v>
      </c>
      <c r="F65" s="7">
        <f t="shared" si="40"/>
        <v>4.524243942895243</v>
      </c>
      <c r="G65" s="7">
        <f t="shared" si="41"/>
        <v>101299.99999999999</v>
      </c>
      <c r="H65" s="62">
        <f t="shared" si="42"/>
        <v>2.166709014493066</v>
      </c>
      <c r="I65" s="63">
        <f t="shared" si="6"/>
        <v>0.0032500635217395987</v>
      </c>
      <c r="J65" s="7">
        <f t="shared" si="43"/>
        <v>53514.94509574973</v>
      </c>
      <c r="K65" s="7">
        <f t="shared" si="44"/>
        <v>0</v>
      </c>
      <c r="L65" s="7">
        <f t="shared" si="45"/>
        <v>101299.99999999999</v>
      </c>
      <c r="M65" s="7">
        <f t="shared" si="46"/>
        <v>2.166709014493066</v>
      </c>
      <c r="N65" s="7">
        <f t="shared" si="47"/>
        <v>0</v>
      </c>
      <c r="O65" s="7">
        <f t="shared" si="48"/>
        <v>0</v>
      </c>
      <c r="P65" s="7">
        <f t="shared" si="49"/>
        <v>0</v>
      </c>
      <c r="Q65" s="7">
        <f t="shared" si="50"/>
        <v>0</v>
      </c>
      <c r="R65" s="7">
        <f t="shared" si="51"/>
        <v>0.5222851164311126</v>
      </c>
      <c r="S65" s="7">
        <f t="shared" si="1"/>
        <v>-0.5222851164311126</v>
      </c>
      <c r="T65" s="7">
        <f t="shared" si="52"/>
        <v>-3.104219430880798</v>
      </c>
      <c r="U65" s="6">
        <f t="shared" si="53"/>
        <v>0</v>
      </c>
      <c r="V65" s="7">
        <f t="shared" si="54"/>
        <v>0</v>
      </c>
      <c r="W65" s="7">
        <f t="shared" si="55"/>
        <v>-0.03104219430880798</v>
      </c>
      <c r="X65" s="7">
        <f t="shared" si="56"/>
        <v>0.1901028052642202</v>
      </c>
    </row>
    <row r="66" spans="4:24" ht="12.75">
      <c r="D66" s="7">
        <f t="shared" si="0"/>
        <v>0.3100000000000001</v>
      </c>
      <c r="E66" s="7">
        <f t="shared" si="39"/>
        <v>18.979238332113212</v>
      </c>
      <c r="F66" s="7">
        <f t="shared" si="40"/>
        <v>4.714346748159463</v>
      </c>
      <c r="G66" s="7">
        <f t="shared" si="41"/>
        <v>101299.99999999999</v>
      </c>
      <c r="H66" s="62">
        <f t="shared" si="42"/>
        <v>2.166709014493066</v>
      </c>
      <c r="I66" s="63">
        <f t="shared" si="6"/>
        <v>0.0032500635217395987</v>
      </c>
      <c r="J66" s="7">
        <f t="shared" si="43"/>
        <v>53514.94509574973</v>
      </c>
      <c r="K66" s="7">
        <f t="shared" si="44"/>
        <v>0</v>
      </c>
      <c r="L66" s="7">
        <f t="shared" si="45"/>
        <v>101299.99999999999</v>
      </c>
      <c r="M66" s="7">
        <f t="shared" si="46"/>
        <v>2.166709014493066</v>
      </c>
      <c r="N66" s="7">
        <f t="shared" si="47"/>
        <v>0</v>
      </c>
      <c r="O66" s="7">
        <f t="shared" si="48"/>
        <v>0</v>
      </c>
      <c r="P66" s="7">
        <f t="shared" si="49"/>
        <v>0</v>
      </c>
      <c r="Q66" s="7">
        <f t="shared" si="50"/>
        <v>0</v>
      </c>
      <c r="R66" s="7">
        <f t="shared" si="51"/>
        <v>0.5205808134448777</v>
      </c>
      <c r="S66" s="7">
        <f t="shared" si="1"/>
        <v>-0.5205808134448777</v>
      </c>
      <c r="T66" s="7">
        <f t="shared" si="52"/>
        <v>-3.0940898478627523</v>
      </c>
      <c r="U66" s="6">
        <f t="shared" si="53"/>
        <v>0</v>
      </c>
      <c r="V66" s="7">
        <f t="shared" si="54"/>
        <v>0</v>
      </c>
      <c r="W66" s="7">
        <f t="shared" si="55"/>
        <v>-0.030940898478627524</v>
      </c>
      <c r="X66" s="7">
        <f t="shared" si="56"/>
        <v>0.18979238332113213</v>
      </c>
    </row>
    <row r="67" spans="4:24" ht="12.75">
      <c r="D67" s="7">
        <f t="shared" si="0"/>
        <v>0.3200000000000001</v>
      </c>
      <c r="E67" s="7">
        <f t="shared" si="39"/>
        <v>18.948297433634586</v>
      </c>
      <c r="F67" s="7">
        <f t="shared" si="40"/>
        <v>4.904139131480595</v>
      </c>
      <c r="G67" s="7">
        <f t="shared" si="41"/>
        <v>101299.99999999999</v>
      </c>
      <c r="H67" s="62">
        <f t="shared" si="42"/>
        <v>2.166709014493066</v>
      </c>
      <c r="I67" s="63">
        <f t="shared" si="6"/>
        <v>0.0032500635217395987</v>
      </c>
      <c r="J67" s="7">
        <f t="shared" si="43"/>
        <v>53514.94509574973</v>
      </c>
      <c r="K67" s="7">
        <f t="shared" si="44"/>
        <v>0</v>
      </c>
      <c r="L67" s="7">
        <f t="shared" si="45"/>
        <v>101299.99999999999</v>
      </c>
      <c r="M67" s="7">
        <f t="shared" si="46"/>
        <v>2.166709014493066</v>
      </c>
      <c r="N67" s="7">
        <f t="shared" si="47"/>
        <v>0</v>
      </c>
      <c r="O67" s="7">
        <f t="shared" si="48"/>
        <v>0</v>
      </c>
      <c r="P67" s="7">
        <f t="shared" si="49"/>
        <v>0</v>
      </c>
      <c r="Q67" s="7">
        <f t="shared" si="50"/>
        <v>0</v>
      </c>
      <c r="R67" s="7">
        <f t="shared" si="51"/>
        <v>0.5188848435216723</v>
      </c>
      <c r="S67" s="7">
        <f t="shared" si="1"/>
        <v>-0.5188848435216723</v>
      </c>
      <c r="T67" s="7">
        <f t="shared" si="52"/>
        <v>-3.084009792689482</v>
      </c>
      <c r="U67" s="6">
        <f t="shared" si="53"/>
        <v>0</v>
      </c>
      <c r="V67" s="7">
        <f t="shared" si="54"/>
        <v>0</v>
      </c>
      <c r="W67" s="7">
        <f t="shared" si="55"/>
        <v>-0.03084009792689482</v>
      </c>
      <c r="X67" s="7">
        <f t="shared" si="56"/>
        <v>0.18948297433634587</v>
      </c>
    </row>
    <row r="68" spans="4:24" ht="12.75">
      <c r="D68" s="7">
        <f t="shared" si="0"/>
        <v>0.3300000000000001</v>
      </c>
      <c r="E68" s="7">
        <f aca="true" t="shared" si="57" ref="E68:E92">E67+W67</f>
        <v>18.91745733570769</v>
      </c>
      <c r="F68" s="7">
        <f aca="true" t="shared" si="58" ref="F68:F92">F67+X67</f>
        <v>5.093622105816941</v>
      </c>
      <c r="G68" s="7">
        <f aca="true" t="shared" si="59" ref="G68:G92">IF((G67+V67)&lt;=$E$7,$E$7,G67+V67)</f>
        <v>101299.99999999999</v>
      </c>
      <c r="H68" s="62">
        <f aca="true" t="shared" si="60" ref="H68:H92">H67+U67</f>
        <v>2.166709014493066</v>
      </c>
      <c r="I68" s="63">
        <f t="shared" si="6"/>
        <v>0.0032500635217395987</v>
      </c>
      <c r="J68" s="7">
        <f aca="true" t="shared" si="61" ref="J68:J92">G68*$E$13</f>
        <v>53514.94509574973</v>
      </c>
      <c r="K68" s="7">
        <f aca="true" t="shared" si="62" ref="K68:K92">IF(J68&gt;$E$7,1,0)</f>
        <v>0</v>
      </c>
      <c r="L68" s="7">
        <f aca="true" t="shared" si="63" ref="L68:L92">IF(K68=1,J68,$E$7)</f>
        <v>101299.99999999999</v>
      </c>
      <c r="M68" s="7">
        <f aca="true" t="shared" si="64" ref="M68:M92">H68*(L68/G68)^(1/$E$11)</f>
        <v>2.166709014493066</v>
      </c>
      <c r="N68" s="7">
        <f aca="true" t="shared" si="65" ref="N68:N92">SQRT(2*$E$11/($E$11-1)*G68/H68*(1-(L68/G68)^(($E$11-1)/$E$11)))</f>
        <v>0</v>
      </c>
      <c r="O68" s="7">
        <f aca="true" t="shared" si="66" ref="O68:O92">M68*$E$14*N68^2</f>
        <v>0</v>
      </c>
      <c r="P68" s="7">
        <f aca="true" t="shared" si="67" ref="P68:P92">IF(L68&gt;$E$7,$E$14*(L68-$E$7),0)</f>
        <v>0</v>
      </c>
      <c r="Q68" s="7">
        <f aca="true" t="shared" si="68" ref="Q68:Q92">O68+P68</f>
        <v>0</v>
      </c>
      <c r="R68" s="7">
        <f aca="true" t="shared" si="69" ref="R68:R92">$E$12*$E$9/2*E68^2*$E$17</f>
        <v>0.5171971524026897</v>
      </c>
      <c r="S68" s="7">
        <f aca="true" t="shared" si="70" ref="S68:S92">Q68-R68</f>
        <v>-0.5171971524026897</v>
      </c>
      <c r="T68" s="7">
        <f aca="true" t="shared" si="71" ref="T68:T92">S68/($E$15+I68)</f>
        <v>-3.0739789428719155</v>
      </c>
      <c r="U68" s="6">
        <f aca="true" t="shared" si="72" ref="U68:U92">-M68*$E$14*N68*$E$19/$E$16</f>
        <v>0</v>
      </c>
      <c r="V68" s="7">
        <f aca="true" t="shared" si="73" ref="V68:V92">$E$11*G68*U68/H68</f>
        <v>0</v>
      </c>
      <c r="W68" s="7">
        <f aca="true" t="shared" si="74" ref="W68:W92">T68*$E$19</f>
        <v>-0.030739789428719157</v>
      </c>
      <c r="X68" s="7">
        <f aca="true" t="shared" si="75" ref="X68:X92">E68*$E$19</f>
        <v>0.1891745733570769</v>
      </c>
    </row>
    <row r="69" spans="4:24" ht="12.75">
      <c r="D69" s="7">
        <f t="shared" si="0"/>
        <v>0.34000000000000014</v>
      </c>
      <c r="E69" s="7">
        <f t="shared" si="57"/>
        <v>18.886717546278973</v>
      </c>
      <c r="F69" s="7">
        <f t="shared" si="58"/>
        <v>5.282796679174018</v>
      </c>
      <c r="G69" s="7">
        <f t="shared" si="59"/>
        <v>101299.99999999999</v>
      </c>
      <c r="H69" s="62">
        <f t="shared" si="60"/>
        <v>2.166709014493066</v>
      </c>
      <c r="I69" s="63">
        <f t="shared" si="6"/>
        <v>0.0032500635217395987</v>
      </c>
      <c r="J69" s="7">
        <f t="shared" si="61"/>
        <v>53514.94509574973</v>
      </c>
      <c r="K69" s="7">
        <f t="shared" si="62"/>
        <v>0</v>
      </c>
      <c r="L69" s="7">
        <f t="shared" si="63"/>
        <v>101299.99999999999</v>
      </c>
      <c r="M69" s="7">
        <f t="shared" si="64"/>
        <v>2.166709014493066</v>
      </c>
      <c r="N69" s="7">
        <f t="shared" si="65"/>
        <v>0</v>
      </c>
      <c r="O69" s="7">
        <f t="shared" si="66"/>
        <v>0</v>
      </c>
      <c r="P69" s="7">
        <f t="shared" si="67"/>
        <v>0</v>
      </c>
      <c r="Q69" s="7">
        <f t="shared" si="68"/>
        <v>0</v>
      </c>
      <c r="R69" s="7">
        <f t="shared" si="69"/>
        <v>0.5155176862701656</v>
      </c>
      <c r="S69" s="7">
        <f t="shared" si="70"/>
        <v>-0.5155176862701656</v>
      </c>
      <c r="T69" s="7">
        <f t="shared" si="71"/>
        <v>-3.063996978542332</v>
      </c>
      <c r="U69" s="6">
        <f t="shared" si="72"/>
        <v>0</v>
      </c>
      <c r="V69" s="7">
        <f t="shared" si="73"/>
        <v>0</v>
      </c>
      <c r="W69" s="7">
        <f t="shared" si="74"/>
        <v>-0.03063996978542332</v>
      </c>
      <c r="X69" s="7">
        <f t="shared" si="75"/>
        <v>0.18886717546278975</v>
      </c>
    </row>
    <row r="70" spans="4:24" ht="12.75">
      <c r="D70" s="7">
        <f t="shared" si="0"/>
        <v>0.35000000000000014</v>
      </c>
      <c r="E70" s="7">
        <f t="shared" si="57"/>
        <v>18.85607757649355</v>
      </c>
      <c r="F70" s="7">
        <f t="shared" si="58"/>
        <v>5.471663854636807</v>
      </c>
      <c r="G70" s="7">
        <f t="shared" si="59"/>
        <v>101299.99999999999</v>
      </c>
      <c r="H70" s="62">
        <f t="shared" si="60"/>
        <v>2.166709014493066</v>
      </c>
      <c r="I70" s="63">
        <f t="shared" si="6"/>
        <v>0.0032500635217395987</v>
      </c>
      <c r="J70" s="7">
        <f t="shared" si="61"/>
        <v>53514.94509574973</v>
      </c>
      <c r="K70" s="7">
        <f t="shared" si="62"/>
        <v>0</v>
      </c>
      <c r="L70" s="7">
        <f t="shared" si="63"/>
        <v>101299.99999999999</v>
      </c>
      <c r="M70" s="7">
        <f t="shared" si="64"/>
        <v>2.166709014493066</v>
      </c>
      <c r="N70" s="7">
        <f t="shared" si="65"/>
        <v>0</v>
      </c>
      <c r="O70" s="7">
        <f t="shared" si="66"/>
        <v>0</v>
      </c>
      <c r="P70" s="7">
        <f t="shared" si="67"/>
        <v>0</v>
      </c>
      <c r="Q70" s="7">
        <f t="shared" si="68"/>
        <v>0</v>
      </c>
      <c r="R70" s="7">
        <f t="shared" si="69"/>
        <v>0.5138463917430811</v>
      </c>
      <c r="S70" s="7">
        <f t="shared" si="70"/>
        <v>-0.5138463917430811</v>
      </c>
      <c r="T70" s="7">
        <f t="shared" si="71"/>
        <v>-3.054063582428823</v>
      </c>
      <c r="U70" s="6">
        <f t="shared" si="72"/>
        <v>0</v>
      </c>
      <c r="V70" s="7">
        <f t="shared" si="73"/>
        <v>0</v>
      </c>
      <c r="W70" s="7">
        <f t="shared" si="74"/>
        <v>-0.03054063582428823</v>
      </c>
      <c r="X70" s="7">
        <f t="shared" si="75"/>
        <v>0.18856077576493552</v>
      </c>
    </row>
    <row r="71" spans="4:24" ht="12.75">
      <c r="D71" s="7">
        <f t="shared" si="0"/>
        <v>0.36000000000000015</v>
      </c>
      <c r="E71" s="7">
        <f t="shared" si="57"/>
        <v>18.825536940669263</v>
      </c>
      <c r="F71" s="7">
        <f t="shared" si="58"/>
        <v>5.660224630401743</v>
      </c>
      <c r="G71" s="7">
        <f t="shared" si="59"/>
        <v>101299.99999999999</v>
      </c>
      <c r="H71" s="62">
        <f t="shared" si="60"/>
        <v>2.166709014493066</v>
      </c>
      <c r="I71" s="63">
        <f t="shared" si="6"/>
        <v>0.0032500635217395987</v>
      </c>
      <c r="J71" s="7">
        <f t="shared" si="61"/>
        <v>53514.94509574973</v>
      </c>
      <c r="K71" s="7">
        <f t="shared" si="62"/>
        <v>0</v>
      </c>
      <c r="L71" s="7">
        <f t="shared" si="63"/>
        <v>101299.99999999999</v>
      </c>
      <c r="M71" s="7">
        <f t="shared" si="64"/>
        <v>2.166709014493066</v>
      </c>
      <c r="N71" s="7">
        <f t="shared" si="65"/>
        <v>0</v>
      </c>
      <c r="O71" s="7">
        <f t="shared" si="66"/>
        <v>0</v>
      </c>
      <c r="P71" s="7">
        <f t="shared" si="67"/>
        <v>0</v>
      </c>
      <c r="Q71" s="7">
        <f t="shared" si="68"/>
        <v>0</v>
      </c>
      <c r="R71" s="7">
        <f t="shared" si="69"/>
        <v>0.5121832158729164</v>
      </c>
      <c r="S71" s="7">
        <f t="shared" si="70"/>
        <v>-0.5121832158729164</v>
      </c>
      <c r="T71" s="7">
        <f t="shared" si="71"/>
        <v>-3.044178439830052</v>
      </c>
      <c r="U71" s="6">
        <f t="shared" si="72"/>
        <v>0</v>
      </c>
      <c r="V71" s="7">
        <f t="shared" si="73"/>
        <v>0</v>
      </c>
      <c r="W71" s="7">
        <f t="shared" si="74"/>
        <v>-0.03044178439830052</v>
      </c>
      <c r="X71" s="7">
        <f t="shared" si="75"/>
        <v>0.18825536940669263</v>
      </c>
    </row>
    <row r="72" spans="4:24" ht="12.75">
      <c r="D72" s="7">
        <f t="shared" si="0"/>
        <v>0.37000000000000016</v>
      </c>
      <c r="E72" s="7">
        <f t="shared" si="57"/>
        <v>18.795095156270964</v>
      </c>
      <c r="F72" s="7">
        <f t="shared" si="58"/>
        <v>5.848479999808435</v>
      </c>
      <c r="G72" s="7">
        <f t="shared" si="59"/>
        <v>101299.99999999999</v>
      </c>
      <c r="H72" s="62">
        <f t="shared" si="60"/>
        <v>2.166709014493066</v>
      </c>
      <c r="I72" s="63">
        <f t="shared" si="6"/>
        <v>0.0032500635217395987</v>
      </c>
      <c r="J72" s="7">
        <f t="shared" si="61"/>
        <v>53514.94509574973</v>
      </c>
      <c r="K72" s="7">
        <f t="shared" si="62"/>
        <v>0</v>
      </c>
      <c r="L72" s="7">
        <f t="shared" si="63"/>
        <v>101299.99999999999</v>
      </c>
      <c r="M72" s="7">
        <f t="shared" si="64"/>
        <v>2.166709014493066</v>
      </c>
      <c r="N72" s="7">
        <f t="shared" si="65"/>
        <v>0</v>
      </c>
      <c r="O72" s="7">
        <f t="shared" si="66"/>
        <v>0</v>
      </c>
      <c r="P72" s="7">
        <f t="shared" si="67"/>
        <v>0</v>
      </c>
      <c r="Q72" s="7">
        <f t="shared" si="68"/>
        <v>0</v>
      </c>
      <c r="R72" s="7">
        <f t="shared" si="69"/>
        <v>0.5105281061394507</v>
      </c>
      <c r="S72" s="7">
        <f t="shared" si="70"/>
        <v>-0.5105281061394507</v>
      </c>
      <c r="T72" s="7">
        <f t="shared" si="71"/>
        <v>-3.034341238590292</v>
      </c>
      <c r="U72" s="6">
        <f t="shared" si="72"/>
        <v>0</v>
      </c>
      <c r="V72" s="7">
        <f t="shared" si="73"/>
        <v>0</v>
      </c>
      <c r="W72" s="7">
        <f t="shared" si="74"/>
        <v>-0.03034341238590292</v>
      </c>
      <c r="X72" s="7">
        <f t="shared" si="75"/>
        <v>0.18795095156270963</v>
      </c>
    </row>
    <row r="73" spans="4:24" ht="12.75">
      <c r="D73" s="7">
        <f t="shared" si="0"/>
        <v>0.38000000000000017</v>
      </c>
      <c r="E73" s="7">
        <f t="shared" si="57"/>
        <v>18.76475174388506</v>
      </c>
      <c r="F73" s="7">
        <f t="shared" si="58"/>
        <v>6.036430951371145</v>
      </c>
      <c r="G73" s="7">
        <f t="shared" si="59"/>
        <v>101299.99999999999</v>
      </c>
      <c r="H73" s="62">
        <f t="shared" si="60"/>
        <v>2.166709014493066</v>
      </c>
      <c r="I73" s="63">
        <f t="shared" si="6"/>
        <v>0.0032500635217395987</v>
      </c>
      <c r="J73" s="7">
        <f t="shared" si="61"/>
        <v>53514.94509574973</v>
      </c>
      <c r="K73" s="7">
        <f t="shared" si="62"/>
        <v>0</v>
      </c>
      <c r="L73" s="7">
        <f t="shared" si="63"/>
        <v>101299.99999999999</v>
      </c>
      <c r="M73" s="7">
        <f t="shared" si="64"/>
        <v>2.166709014493066</v>
      </c>
      <c r="N73" s="7">
        <f t="shared" si="65"/>
        <v>0</v>
      </c>
      <c r="O73" s="7">
        <f t="shared" si="66"/>
        <v>0</v>
      </c>
      <c r="P73" s="7">
        <f t="shared" si="67"/>
        <v>0</v>
      </c>
      <c r="Q73" s="7">
        <f t="shared" si="68"/>
        <v>0</v>
      </c>
      <c r="R73" s="7">
        <f t="shared" si="69"/>
        <v>0.5088810104466103</v>
      </c>
      <c r="S73" s="7">
        <f t="shared" si="70"/>
        <v>-0.5088810104466103</v>
      </c>
      <c r="T73" s="7">
        <f t="shared" si="71"/>
        <v>-3.0245516690747505</v>
      </c>
      <c r="U73" s="6">
        <f t="shared" si="72"/>
        <v>0</v>
      </c>
      <c r="V73" s="7">
        <f t="shared" si="73"/>
        <v>0</v>
      </c>
      <c r="W73" s="7">
        <f t="shared" si="74"/>
        <v>-0.030245516690747504</v>
      </c>
      <c r="X73" s="7">
        <f t="shared" si="75"/>
        <v>0.1876475174388506</v>
      </c>
    </row>
    <row r="74" spans="4:24" ht="12.75">
      <c r="D74" s="7">
        <f t="shared" si="0"/>
        <v>0.3900000000000002</v>
      </c>
      <c r="E74" s="7">
        <f t="shared" si="57"/>
        <v>18.734506227194313</v>
      </c>
      <c r="F74" s="7">
        <f t="shared" si="58"/>
        <v>6.224078468809996</v>
      </c>
      <c r="G74" s="7">
        <f t="shared" si="59"/>
        <v>101299.99999999999</v>
      </c>
      <c r="H74" s="62">
        <f t="shared" si="60"/>
        <v>2.166709014493066</v>
      </c>
      <c r="I74" s="63">
        <f t="shared" si="6"/>
        <v>0.0032500635217395987</v>
      </c>
      <c r="J74" s="7">
        <f t="shared" si="61"/>
        <v>53514.94509574973</v>
      </c>
      <c r="K74" s="7">
        <f t="shared" si="62"/>
        <v>0</v>
      </c>
      <c r="L74" s="7">
        <f t="shared" si="63"/>
        <v>101299.99999999999</v>
      </c>
      <c r="M74" s="7">
        <f t="shared" si="64"/>
        <v>2.166709014493066</v>
      </c>
      <c r="N74" s="7">
        <f t="shared" si="65"/>
        <v>0</v>
      </c>
      <c r="O74" s="7">
        <f t="shared" si="66"/>
        <v>0</v>
      </c>
      <c r="P74" s="7">
        <f t="shared" si="67"/>
        <v>0</v>
      </c>
      <c r="Q74" s="7">
        <f t="shared" si="68"/>
        <v>0</v>
      </c>
      <c r="R74" s="7">
        <f t="shared" si="69"/>
        <v>0.5072418771183648</v>
      </c>
      <c r="S74" s="7">
        <f t="shared" si="70"/>
        <v>-0.5072418771183648</v>
      </c>
      <c r="T74" s="7">
        <f t="shared" si="71"/>
        <v>-3.014809424145174</v>
      </c>
      <c r="U74" s="6">
        <f t="shared" si="72"/>
        <v>0</v>
      </c>
      <c r="V74" s="7">
        <f t="shared" si="73"/>
        <v>0</v>
      </c>
      <c r="W74" s="7">
        <f t="shared" si="74"/>
        <v>-0.03014809424145174</v>
      </c>
      <c r="X74" s="7">
        <f t="shared" si="75"/>
        <v>0.18734506227194314</v>
      </c>
    </row>
    <row r="75" spans="4:24" ht="12.75">
      <c r="D75" s="7">
        <f t="shared" si="0"/>
        <v>0.4000000000000002</v>
      </c>
      <c r="E75" s="7">
        <f t="shared" si="57"/>
        <v>18.704358132952862</v>
      </c>
      <c r="F75" s="7">
        <f t="shared" si="58"/>
        <v>6.4114235310819385</v>
      </c>
      <c r="G75" s="7">
        <f t="shared" si="59"/>
        <v>101299.99999999999</v>
      </c>
      <c r="H75" s="62">
        <f t="shared" si="60"/>
        <v>2.166709014493066</v>
      </c>
      <c r="I75" s="63">
        <f t="shared" si="6"/>
        <v>0.0032500635217395987</v>
      </c>
      <c r="J75" s="7">
        <f t="shared" si="61"/>
        <v>53514.94509574973</v>
      </c>
      <c r="K75" s="7">
        <f t="shared" si="62"/>
        <v>0</v>
      </c>
      <c r="L75" s="7">
        <f t="shared" si="63"/>
        <v>101299.99999999999</v>
      </c>
      <c r="M75" s="7">
        <f t="shared" si="64"/>
        <v>2.166709014493066</v>
      </c>
      <c r="N75" s="7">
        <f t="shared" si="65"/>
        <v>0</v>
      </c>
      <c r="O75" s="7">
        <f t="shared" si="66"/>
        <v>0</v>
      </c>
      <c r="P75" s="7">
        <f t="shared" si="67"/>
        <v>0</v>
      </c>
      <c r="Q75" s="7">
        <f t="shared" si="68"/>
        <v>0</v>
      </c>
      <c r="R75" s="7">
        <f t="shared" si="69"/>
        <v>0.5056106548946672</v>
      </c>
      <c r="S75" s="7">
        <f t="shared" si="70"/>
        <v>-0.5056106548946672</v>
      </c>
      <c r="T75" s="7">
        <f t="shared" si="71"/>
        <v>-3.0051141991357238</v>
      </c>
      <c r="U75" s="6">
        <f t="shared" si="72"/>
        <v>0</v>
      </c>
      <c r="V75" s="7">
        <f t="shared" si="73"/>
        <v>0</v>
      </c>
      <c r="W75" s="7">
        <f t="shared" si="74"/>
        <v>-0.03005114199135724</v>
      </c>
      <c r="X75" s="7">
        <f t="shared" si="75"/>
        <v>0.1870435813295286</v>
      </c>
    </row>
    <row r="76" spans="4:24" ht="12.75">
      <c r="D76" s="7">
        <f t="shared" si="0"/>
        <v>0.4100000000000002</v>
      </c>
      <c r="E76" s="7">
        <f t="shared" si="57"/>
        <v>18.674306990961504</v>
      </c>
      <c r="F76" s="7">
        <f t="shared" si="58"/>
        <v>6.598467112411467</v>
      </c>
      <c r="G76" s="7">
        <f t="shared" si="59"/>
        <v>101299.99999999999</v>
      </c>
      <c r="H76" s="62">
        <f t="shared" si="60"/>
        <v>2.166709014493066</v>
      </c>
      <c r="I76" s="63">
        <f t="shared" si="6"/>
        <v>0.0032500635217395987</v>
      </c>
      <c r="J76" s="7">
        <f t="shared" si="61"/>
        <v>53514.94509574973</v>
      </c>
      <c r="K76" s="7">
        <f t="shared" si="62"/>
        <v>0</v>
      </c>
      <c r="L76" s="7">
        <f t="shared" si="63"/>
        <v>101299.99999999999</v>
      </c>
      <c r="M76" s="7">
        <f t="shared" si="64"/>
        <v>2.166709014493066</v>
      </c>
      <c r="N76" s="7">
        <f t="shared" si="65"/>
        <v>0</v>
      </c>
      <c r="O76" s="7">
        <f t="shared" si="66"/>
        <v>0</v>
      </c>
      <c r="P76" s="7">
        <f t="shared" si="67"/>
        <v>0</v>
      </c>
      <c r="Q76" s="7">
        <f t="shared" si="68"/>
        <v>0</v>
      </c>
      <c r="R76" s="7">
        <f t="shared" si="69"/>
        <v>0.5039872929274413</v>
      </c>
      <c r="S76" s="7">
        <f t="shared" si="70"/>
        <v>-0.5039872929274413</v>
      </c>
      <c r="T76" s="7">
        <f t="shared" si="71"/>
        <v>-2.995465691829121</v>
      </c>
      <c r="U76" s="6">
        <f t="shared" si="72"/>
        <v>0</v>
      </c>
      <c r="V76" s="7">
        <f t="shared" si="73"/>
        <v>0</v>
      </c>
      <c r="W76" s="7">
        <f t="shared" si="74"/>
        <v>-0.02995465691829121</v>
      </c>
      <c r="X76" s="7">
        <f t="shared" si="75"/>
        <v>0.18674306990961506</v>
      </c>
    </row>
    <row r="77" spans="4:24" ht="12.75">
      <c r="D77" s="7">
        <f t="shared" si="0"/>
        <v>0.4200000000000002</v>
      </c>
      <c r="E77" s="7">
        <f t="shared" si="57"/>
        <v>18.644352334043212</v>
      </c>
      <c r="F77" s="7">
        <f t="shared" si="58"/>
        <v>6.785210182321082</v>
      </c>
      <c r="G77" s="7">
        <f t="shared" si="59"/>
        <v>101299.99999999999</v>
      </c>
      <c r="H77" s="62">
        <f t="shared" si="60"/>
        <v>2.166709014493066</v>
      </c>
      <c r="I77" s="63">
        <f t="shared" si="6"/>
        <v>0.0032500635217395987</v>
      </c>
      <c r="J77" s="7">
        <f t="shared" si="61"/>
        <v>53514.94509574973</v>
      </c>
      <c r="K77" s="7">
        <f t="shared" si="62"/>
        <v>0</v>
      </c>
      <c r="L77" s="7">
        <f t="shared" si="63"/>
        <v>101299.99999999999</v>
      </c>
      <c r="M77" s="7">
        <f t="shared" si="64"/>
        <v>2.166709014493066</v>
      </c>
      <c r="N77" s="7">
        <f t="shared" si="65"/>
        <v>0</v>
      </c>
      <c r="O77" s="7">
        <f t="shared" si="66"/>
        <v>0</v>
      </c>
      <c r="P77" s="7">
        <f t="shared" si="67"/>
        <v>0</v>
      </c>
      <c r="Q77" s="7">
        <f t="shared" si="68"/>
        <v>0</v>
      </c>
      <c r="R77" s="7">
        <f t="shared" si="69"/>
        <v>0.5023717407766145</v>
      </c>
      <c r="S77" s="7">
        <f t="shared" si="70"/>
        <v>-0.5023717407766145</v>
      </c>
      <c r="T77" s="7">
        <f t="shared" si="71"/>
        <v>-2.9858636024330716</v>
      </c>
      <c r="U77" s="6">
        <f t="shared" si="72"/>
        <v>0</v>
      </c>
      <c r="V77" s="7">
        <f t="shared" si="73"/>
        <v>0</v>
      </c>
      <c r="W77" s="7">
        <f t="shared" si="74"/>
        <v>-0.029858636024330715</v>
      </c>
      <c r="X77" s="7">
        <f t="shared" si="75"/>
        <v>0.18644352334043213</v>
      </c>
    </row>
    <row r="78" spans="4:24" ht="12.75">
      <c r="D78" s="7">
        <f t="shared" si="0"/>
        <v>0.4300000000000002</v>
      </c>
      <c r="E78" s="7">
        <f t="shared" si="57"/>
        <v>18.614493698018883</v>
      </c>
      <c r="F78" s="7">
        <f t="shared" si="58"/>
        <v>6.971653705661514</v>
      </c>
      <c r="G78" s="7">
        <f t="shared" si="59"/>
        <v>101299.99999999999</v>
      </c>
      <c r="H78" s="62">
        <f t="shared" si="60"/>
        <v>2.166709014493066</v>
      </c>
      <c r="I78" s="63">
        <f t="shared" si="6"/>
        <v>0.0032500635217395987</v>
      </c>
      <c r="J78" s="7">
        <f t="shared" si="61"/>
        <v>53514.94509574973</v>
      </c>
      <c r="K78" s="7">
        <f t="shared" si="62"/>
        <v>0</v>
      </c>
      <c r="L78" s="7">
        <f t="shared" si="63"/>
        <v>101299.99999999999</v>
      </c>
      <c r="M78" s="7">
        <f t="shared" si="64"/>
        <v>2.166709014493066</v>
      </c>
      <c r="N78" s="7">
        <f t="shared" si="65"/>
        <v>0</v>
      </c>
      <c r="O78" s="7">
        <f t="shared" si="66"/>
        <v>0</v>
      </c>
      <c r="P78" s="7">
        <f t="shared" si="67"/>
        <v>0</v>
      </c>
      <c r="Q78" s="7">
        <f t="shared" si="68"/>
        <v>0</v>
      </c>
      <c r="R78" s="7">
        <f t="shared" si="69"/>
        <v>0.5007639484061938</v>
      </c>
      <c r="S78" s="7">
        <f t="shared" si="70"/>
        <v>-0.5007639484061938</v>
      </c>
      <c r="T78" s="7">
        <f t="shared" si="71"/>
        <v>-2.976307633556941</v>
      </c>
      <c r="U78" s="6">
        <f t="shared" si="72"/>
        <v>0</v>
      </c>
      <c r="V78" s="7">
        <f t="shared" si="73"/>
        <v>0</v>
      </c>
      <c r="W78" s="7">
        <f t="shared" si="74"/>
        <v>-0.02976307633556941</v>
      </c>
      <c r="X78" s="7">
        <f t="shared" si="75"/>
        <v>0.18614493698018883</v>
      </c>
    </row>
    <row r="79" spans="4:24" ht="12.75">
      <c r="D79" s="7">
        <f t="shared" si="0"/>
        <v>0.4400000000000002</v>
      </c>
      <c r="E79" s="7">
        <f t="shared" si="57"/>
        <v>18.584730621683313</v>
      </c>
      <c r="F79" s="7">
        <f t="shared" si="58"/>
        <v>7.157798642641703</v>
      </c>
      <c r="G79" s="7">
        <f t="shared" si="59"/>
        <v>101299.99999999999</v>
      </c>
      <c r="H79" s="62">
        <f t="shared" si="60"/>
        <v>2.166709014493066</v>
      </c>
      <c r="I79" s="63">
        <f t="shared" si="6"/>
        <v>0.0032500635217395987</v>
      </c>
      <c r="J79" s="7">
        <f t="shared" si="61"/>
        <v>53514.94509574973</v>
      </c>
      <c r="K79" s="7">
        <f t="shared" si="62"/>
        <v>0</v>
      </c>
      <c r="L79" s="7">
        <f t="shared" si="63"/>
        <v>101299.99999999999</v>
      </c>
      <c r="M79" s="7">
        <f t="shared" si="64"/>
        <v>2.166709014493066</v>
      </c>
      <c r="N79" s="7">
        <f t="shared" si="65"/>
        <v>0</v>
      </c>
      <c r="O79" s="7">
        <f t="shared" si="66"/>
        <v>0</v>
      </c>
      <c r="P79" s="7">
        <f t="shared" si="67"/>
        <v>0</v>
      </c>
      <c r="Q79" s="7">
        <f t="shared" si="68"/>
        <v>0</v>
      </c>
      <c r="R79" s="7">
        <f t="shared" si="69"/>
        <v>0.49916386618038655</v>
      </c>
      <c r="S79" s="7">
        <f t="shared" si="70"/>
        <v>-0.49916386618038655</v>
      </c>
      <c r="T79" s="7">
        <f t="shared" si="71"/>
        <v>-2.966797490188701</v>
      </c>
      <c r="U79" s="6">
        <f t="shared" si="72"/>
        <v>0</v>
      </c>
      <c r="V79" s="7">
        <f t="shared" si="73"/>
        <v>0</v>
      </c>
      <c r="W79" s="7">
        <f t="shared" si="74"/>
        <v>-0.02966797490188701</v>
      </c>
      <c r="X79" s="7">
        <f t="shared" si="75"/>
        <v>0.18584730621683312</v>
      </c>
    </row>
    <row r="80" spans="4:24" ht="12.75">
      <c r="D80" s="7">
        <f t="shared" si="0"/>
        <v>0.45000000000000023</v>
      </c>
      <c r="E80" s="7">
        <f t="shared" si="57"/>
        <v>18.555062646781426</v>
      </c>
      <c r="F80" s="7">
        <f t="shared" si="58"/>
        <v>7.343645948858536</v>
      </c>
      <c r="G80" s="7">
        <f t="shared" si="59"/>
        <v>101299.99999999999</v>
      </c>
      <c r="H80" s="62">
        <f t="shared" si="60"/>
        <v>2.166709014493066</v>
      </c>
      <c r="I80" s="63">
        <f t="shared" si="6"/>
        <v>0.0032500635217395987</v>
      </c>
      <c r="J80" s="7">
        <f t="shared" si="61"/>
        <v>53514.94509574973</v>
      </c>
      <c r="K80" s="7">
        <f t="shared" si="62"/>
        <v>0</v>
      </c>
      <c r="L80" s="7">
        <f t="shared" si="63"/>
        <v>101299.99999999999</v>
      </c>
      <c r="M80" s="7">
        <f t="shared" si="64"/>
        <v>2.166709014493066</v>
      </c>
      <c r="N80" s="7">
        <f t="shared" si="65"/>
        <v>0</v>
      </c>
      <c r="O80" s="7">
        <f t="shared" si="66"/>
        <v>0</v>
      </c>
      <c r="P80" s="7">
        <f t="shared" si="67"/>
        <v>0</v>
      </c>
      <c r="Q80" s="7">
        <f t="shared" si="68"/>
        <v>0</v>
      </c>
      <c r="R80" s="7">
        <f t="shared" si="69"/>
        <v>0.49757144485976484</v>
      </c>
      <c r="S80" s="7">
        <f t="shared" si="70"/>
        <v>-0.49757144485976484</v>
      </c>
      <c r="T80" s="7">
        <f t="shared" si="71"/>
        <v>-2.9573328796721294</v>
      </c>
      <c r="U80" s="6">
        <f t="shared" si="72"/>
        <v>0</v>
      </c>
      <c r="V80" s="7">
        <f t="shared" si="73"/>
        <v>0</v>
      </c>
      <c r="W80" s="7">
        <f t="shared" si="74"/>
        <v>-0.029573328796721296</v>
      </c>
      <c r="X80" s="7">
        <f t="shared" si="75"/>
        <v>0.18555062646781426</v>
      </c>
    </row>
    <row r="81" spans="4:24" ht="12.75">
      <c r="D81" s="7">
        <f t="shared" si="0"/>
        <v>0.46000000000000024</v>
      </c>
      <c r="E81" s="7">
        <f t="shared" si="57"/>
        <v>18.525489317984704</v>
      </c>
      <c r="F81" s="7">
        <f t="shared" si="58"/>
        <v>7.529196575326351</v>
      </c>
      <c r="G81" s="7">
        <f t="shared" si="59"/>
        <v>101299.99999999999</v>
      </c>
      <c r="H81" s="62">
        <f t="shared" si="60"/>
        <v>2.166709014493066</v>
      </c>
      <c r="I81" s="63">
        <f t="shared" si="6"/>
        <v>0.0032500635217395987</v>
      </c>
      <c r="J81" s="7">
        <f t="shared" si="61"/>
        <v>53514.94509574973</v>
      </c>
      <c r="K81" s="7">
        <f t="shared" si="62"/>
        <v>0</v>
      </c>
      <c r="L81" s="7">
        <f t="shared" si="63"/>
        <v>101299.99999999999</v>
      </c>
      <c r="M81" s="7">
        <f t="shared" si="64"/>
        <v>2.166709014493066</v>
      </c>
      <c r="N81" s="7">
        <f t="shared" si="65"/>
        <v>0</v>
      </c>
      <c r="O81" s="7">
        <f t="shared" si="66"/>
        <v>0</v>
      </c>
      <c r="P81" s="7">
        <f t="shared" si="67"/>
        <v>0</v>
      </c>
      <c r="Q81" s="7">
        <f t="shared" si="68"/>
        <v>0</v>
      </c>
      <c r="R81" s="7">
        <f t="shared" si="69"/>
        <v>0.49598663559747186</v>
      </c>
      <c r="S81" s="7">
        <f t="shared" si="70"/>
        <v>-0.49598663559747186</v>
      </c>
      <c r="T81" s="7">
        <f t="shared" si="71"/>
        <v>-2.947913511684264</v>
      </c>
      <c r="U81" s="6">
        <f t="shared" si="72"/>
        <v>0</v>
      </c>
      <c r="V81" s="7">
        <f t="shared" si="73"/>
        <v>0</v>
      </c>
      <c r="W81" s="7">
        <f t="shared" si="74"/>
        <v>-0.02947913511684264</v>
      </c>
      <c r="X81" s="7">
        <f t="shared" si="75"/>
        <v>0.18525489317984703</v>
      </c>
    </row>
    <row r="82" spans="4:24" ht="12.75">
      <c r="D82" s="7">
        <f t="shared" si="0"/>
        <v>0.47000000000000025</v>
      </c>
      <c r="E82" s="7">
        <f t="shared" si="57"/>
        <v>18.49601018286786</v>
      </c>
      <c r="F82" s="7">
        <f t="shared" si="58"/>
        <v>7.714451468506198</v>
      </c>
      <c r="G82" s="7">
        <f t="shared" si="59"/>
        <v>101299.99999999999</v>
      </c>
      <c r="H82" s="62">
        <f t="shared" si="60"/>
        <v>2.166709014493066</v>
      </c>
      <c r="I82" s="63">
        <f t="shared" si="6"/>
        <v>0.0032500635217395987</v>
      </c>
      <c r="J82" s="7">
        <f t="shared" si="61"/>
        <v>53514.94509574973</v>
      </c>
      <c r="K82" s="7">
        <f t="shared" si="62"/>
        <v>0</v>
      </c>
      <c r="L82" s="7">
        <f t="shared" si="63"/>
        <v>101299.99999999999</v>
      </c>
      <c r="M82" s="7">
        <f t="shared" si="64"/>
        <v>2.166709014493066</v>
      </c>
      <c r="N82" s="7">
        <f t="shared" si="65"/>
        <v>0</v>
      </c>
      <c r="O82" s="7">
        <f t="shared" si="66"/>
        <v>0</v>
      </c>
      <c r="P82" s="7">
        <f t="shared" si="67"/>
        <v>0</v>
      </c>
      <c r="Q82" s="7">
        <f t="shared" si="68"/>
        <v>0</v>
      </c>
      <c r="R82" s="7">
        <f t="shared" si="69"/>
        <v>0.4944093899354715</v>
      </c>
      <c r="S82" s="7">
        <f t="shared" si="70"/>
        <v>-0.4944093899354715</v>
      </c>
      <c r="T82" s="7">
        <f t="shared" si="71"/>
        <v>-2.938539098213112</v>
      </c>
      <c r="U82" s="6">
        <f t="shared" si="72"/>
        <v>0</v>
      </c>
      <c r="V82" s="7">
        <f t="shared" si="73"/>
        <v>0</v>
      </c>
      <c r="W82" s="7">
        <f t="shared" si="74"/>
        <v>-0.02938539098213112</v>
      </c>
      <c r="X82" s="7">
        <f t="shared" si="75"/>
        <v>0.18496010182867859</v>
      </c>
    </row>
    <row r="83" spans="4:24" ht="12.75">
      <c r="D83" s="7">
        <f t="shared" si="0"/>
        <v>0.48000000000000026</v>
      </c>
      <c r="E83" s="7">
        <f t="shared" si="57"/>
        <v>18.466624791885728</v>
      </c>
      <c r="F83" s="7">
        <f t="shared" si="58"/>
        <v>7.899411570334876</v>
      </c>
      <c r="G83" s="7">
        <f t="shared" si="59"/>
        <v>101299.99999999999</v>
      </c>
      <c r="H83" s="62">
        <f t="shared" si="60"/>
        <v>2.166709014493066</v>
      </c>
      <c r="I83" s="63">
        <f t="shared" si="6"/>
        <v>0.0032500635217395987</v>
      </c>
      <c r="J83" s="7">
        <f t="shared" si="61"/>
        <v>53514.94509574973</v>
      </c>
      <c r="K83" s="7">
        <f t="shared" si="62"/>
        <v>0</v>
      </c>
      <c r="L83" s="7">
        <f t="shared" si="63"/>
        <v>101299.99999999999</v>
      </c>
      <c r="M83" s="7">
        <f t="shared" si="64"/>
        <v>2.166709014493066</v>
      </c>
      <c r="N83" s="7">
        <f t="shared" si="65"/>
        <v>0</v>
      </c>
      <c r="O83" s="7">
        <f t="shared" si="66"/>
        <v>0</v>
      </c>
      <c r="P83" s="7">
        <f t="shared" si="67"/>
        <v>0</v>
      </c>
      <c r="Q83" s="7">
        <f t="shared" si="68"/>
        <v>0</v>
      </c>
      <c r="R83" s="7">
        <f t="shared" si="69"/>
        <v>0.49283965980083905</v>
      </c>
      <c r="S83" s="7">
        <f t="shared" si="70"/>
        <v>-0.49283965980083905</v>
      </c>
      <c r="T83" s="7">
        <f t="shared" si="71"/>
        <v>-2.929209353535603</v>
      </c>
      <c r="U83" s="6">
        <f t="shared" si="72"/>
        <v>0</v>
      </c>
      <c r="V83" s="7">
        <f t="shared" si="73"/>
        <v>0</v>
      </c>
      <c r="W83" s="7">
        <f t="shared" si="74"/>
        <v>-0.029292093535356032</v>
      </c>
      <c r="X83" s="7">
        <f t="shared" si="75"/>
        <v>0.18466624791885727</v>
      </c>
    </row>
    <row r="84" spans="4:24" ht="12.75">
      <c r="D84" s="7">
        <f t="shared" si="0"/>
        <v>0.49000000000000027</v>
      </c>
      <c r="E84" s="7">
        <f t="shared" si="57"/>
        <v>18.43733269835037</v>
      </c>
      <c r="F84" s="7">
        <f t="shared" si="58"/>
        <v>8.084077818253734</v>
      </c>
      <c r="G84" s="7">
        <f t="shared" si="59"/>
        <v>101299.99999999999</v>
      </c>
      <c r="H84" s="62">
        <f t="shared" si="60"/>
        <v>2.166709014493066</v>
      </c>
      <c r="I84" s="63">
        <f t="shared" si="6"/>
        <v>0.0032500635217395987</v>
      </c>
      <c r="J84" s="7">
        <f t="shared" si="61"/>
        <v>53514.94509574973</v>
      </c>
      <c r="K84" s="7">
        <f t="shared" si="62"/>
        <v>0</v>
      </c>
      <c r="L84" s="7">
        <f t="shared" si="63"/>
        <v>101299.99999999999</v>
      </c>
      <c r="M84" s="7">
        <f t="shared" si="64"/>
        <v>2.166709014493066</v>
      </c>
      <c r="N84" s="7">
        <f t="shared" si="65"/>
        <v>0</v>
      </c>
      <c r="O84" s="7">
        <f t="shared" si="66"/>
        <v>0</v>
      </c>
      <c r="P84" s="7">
        <f t="shared" si="67"/>
        <v>0</v>
      </c>
      <c r="Q84" s="7">
        <f t="shared" si="68"/>
        <v>0</v>
      </c>
      <c r="R84" s="7">
        <f t="shared" si="69"/>
        <v>0.49127739750209354</v>
      </c>
      <c r="S84" s="7">
        <f t="shared" si="70"/>
        <v>-0.49127739750209354</v>
      </c>
      <c r="T84" s="7">
        <f t="shared" si="71"/>
        <v>-2.9199239941957917</v>
      </c>
      <c r="U84" s="6">
        <f t="shared" si="72"/>
        <v>0</v>
      </c>
      <c r="V84" s="7">
        <f t="shared" si="73"/>
        <v>0</v>
      </c>
      <c r="W84" s="7">
        <f t="shared" si="74"/>
        <v>-0.029199239941957916</v>
      </c>
      <c r="X84" s="7">
        <f t="shared" si="75"/>
        <v>0.1843733269835037</v>
      </c>
    </row>
    <row r="85" spans="4:24" ht="12.75">
      <c r="D85" s="7">
        <f t="shared" si="0"/>
        <v>0.5000000000000002</v>
      </c>
      <c r="E85" s="7">
        <f t="shared" si="57"/>
        <v>18.408133458408415</v>
      </c>
      <c r="F85" s="7">
        <f t="shared" si="58"/>
        <v>8.268451145237238</v>
      </c>
      <c r="G85" s="7">
        <f t="shared" si="59"/>
        <v>101299.99999999999</v>
      </c>
      <c r="H85" s="62">
        <f t="shared" si="60"/>
        <v>2.166709014493066</v>
      </c>
      <c r="I85" s="63">
        <f t="shared" si="6"/>
        <v>0.0032500635217395987</v>
      </c>
      <c r="J85" s="7">
        <f t="shared" si="61"/>
        <v>53514.94509574973</v>
      </c>
      <c r="K85" s="7">
        <f t="shared" si="62"/>
        <v>0</v>
      </c>
      <c r="L85" s="7">
        <f t="shared" si="63"/>
        <v>101299.99999999999</v>
      </c>
      <c r="M85" s="7">
        <f t="shared" si="64"/>
        <v>2.166709014493066</v>
      </c>
      <c r="N85" s="7">
        <f t="shared" si="65"/>
        <v>0</v>
      </c>
      <c r="O85" s="7">
        <f t="shared" si="66"/>
        <v>0</v>
      </c>
      <c r="P85" s="7">
        <f t="shared" si="67"/>
        <v>0</v>
      </c>
      <c r="Q85" s="7">
        <f t="shared" si="68"/>
        <v>0</v>
      </c>
      <c r="R85" s="7">
        <f t="shared" si="69"/>
        <v>0.4897225557255702</v>
      </c>
      <c r="S85" s="7">
        <f t="shared" si="70"/>
        <v>-0.4897225557255702</v>
      </c>
      <c r="T85" s="7">
        <f t="shared" si="71"/>
        <v>-2.910682738983294</v>
      </c>
      <c r="U85" s="6">
        <f t="shared" si="72"/>
        <v>0</v>
      </c>
      <c r="V85" s="7">
        <f t="shared" si="73"/>
        <v>0</v>
      </c>
      <c r="W85" s="7">
        <f t="shared" si="74"/>
        <v>-0.029106827389832942</v>
      </c>
      <c r="X85" s="7">
        <f t="shared" si="75"/>
        <v>0.18408133458408416</v>
      </c>
    </row>
    <row r="86" spans="4:24" ht="12.75">
      <c r="D86" s="7">
        <f t="shared" si="0"/>
        <v>0.5100000000000002</v>
      </c>
      <c r="E86" s="7">
        <f t="shared" si="57"/>
        <v>18.379026631018583</v>
      </c>
      <c r="F86" s="7">
        <f t="shared" si="58"/>
        <v>8.452532479821322</v>
      </c>
      <c r="G86" s="7">
        <f t="shared" si="59"/>
        <v>101299.99999999999</v>
      </c>
      <c r="H86" s="62">
        <f t="shared" si="60"/>
        <v>2.166709014493066</v>
      </c>
      <c r="I86" s="63">
        <f t="shared" si="6"/>
        <v>0.0032500635217395987</v>
      </c>
      <c r="J86" s="7">
        <f t="shared" si="61"/>
        <v>53514.94509574973</v>
      </c>
      <c r="K86" s="7">
        <f t="shared" si="62"/>
        <v>0</v>
      </c>
      <c r="L86" s="7">
        <f t="shared" si="63"/>
        <v>101299.99999999999</v>
      </c>
      <c r="M86" s="7">
        <f t="shared" si="64"/>
        <v>2.166709014493066</v>
      </c>
      <c r="N86" s="7">
        <f t="shared" si="65"/>
        <v>0</v>
      </c>
      <c r="O86" s="7">
        <f t="shared" si="66"/>
        <v>0</v>
      </c>
      <c r="P86" s="7">
        <f t="shared" si="67"/>
        <v>0</v>
      </c>
      <c r="Q86" s="7">
        <f t="shared" si="68"/>
        <v>0</v>
      </c>
      <c r="R86" s="7">
        <f t="shared" si="69"/>
        <v>0.4881750875318338</v>
      </c>
      <c r="S86" s="7">
        <f t="shared" si="70"/>
        <v>-0.4881750875318338</v>
      </c>
      <c r="T86" s="7">
        <f t="shared" si="71"/>
        <v>-2.9014853089119734</v>
      </c>
      <c r="U86" s="6">
        <f t="shared" si="72"/>
        <v>0</v>
      </c>
      <c r="V86" s="7">
        <f t="shared" si="73"/>
        <v>0</v>
      </c>
      <c r="W86" s="7">
        <f t="shared" si="74"/>
        <v>-0.029014853089119736</v>
      </c>
      <c r="X86" s="7">
        <f t="shared" si="75"/>
        <v>0.18379026631018583</v>
      </c>
    </row>
    <row r="87" spans="4:24" ht="12.75">
      <c r="D87" s="7">
        <f t="shared" si="0"/>
        <v>0.5200000000000002</v>
      </c>
      <c r="E87" s="7">
        <f t="shared" si="57"/>
        <v>18.350011777929463</v>
      </c>
      <c r="F87" s="7">
        <f t="shared" si="58"/>
        <v>8.636322746131508</v>
      </c>
      <c r="G87" s="7">
        <f t="shared" si="59"/>
        <v>101299.99999999999</v>
      </c>
      <c r="H87" s="62">
        <f t="shared" si="60"/>
        <v>2.166709014493066</v>
      </c>
      <c r="I87" s="63">
        <f t="shared" si="6"/>
        <v>0.0032500635217395987</v>
      </c>
      <c r="J87" s="7">
        <f t="shared" si="61"/>
        <v>53514.94509574973</v>
      </c>
      <c r="K87" s="7">
        <f t="shared" si="62"/>
        <v>0</v>
      </c>
      <c r="L87" s="7">
        <f t="shared" si="63"/>
        <v>101299.99999999999</v>
      </c>
      <c r="M87" s="7">
        <f t="shared" si="64"/>
        <v>2.166709014493066</v>
      </c>
      <c r="N87" s="7">
        <f t="shared" si="65"/>
        <v>0</v>
      </c>
      <c r="O87" s="7">
        <f t="shared" si="66"/>
        <v>0</v>
      </c>
      <c r="P87" s="7">
        <f t="shared" si="67"/>
        <v>0</v>
      </c>
      <c r="Q87" s="7">
        <f t="shared" si="68"/>
        <v>0</v>
      </c>
      <c r="R87" s="7">
        <f t="shared" si="69"/>
        <v>0.48663494635213117</v>
      </c>
      <c r="S87" s="7">
        <f t="shared" si="70"/>
        <v>-0.48663494635213117</v>
      </c>
      <c r="T87" s="7">
        <f t="shared" si="71"/>
        <v>-2.8923314271988554</v>
      </c>
      <c r="U87" s="6">
        <f t="shared" si="72"/>
        <v>0</v>
      </c>
      <c r="V87" s="7">
        <f t="shared" si="73"/>
        <v>0</v>
      </c>
      <c r="W87" s="7">
        <f t="shared" si="74"/>
        <v>-0.028923314271988555</v>
      </c>
      <c r="X87" s="7">
        <f t="shared" si="75"/>
        <v>0.18350011777929465</v>
      </c>
    </row>
    <row r="88" spans="4:24" ht="12.75">
      <c r="D88" s="7">
        <f t="shared" si="0"/>
        <v>0.5300000000000002</v>
      </c>
      <c r="E88" s="7">
        <f t="shared" si="57"/>
        <v>18.321088463657475</v>
      </c>
      <c r="F88" s="7">
        <f t="shared" si="58"/>
        <v>8.819822863910803</v>
      </c>
      <c r="G88" s="7">
        <f t="shared" si="59"/>
        <v>101299.99999999999</v>
      </c>
      <c r="H88" s="62">
        <f t="shared" si="60"/>
        <v>2.166709014493066</v>
      </c>
      <c r="I88" s="63">
        <f t="shared" si="6"/>
        <v>0.0032500635217395987</v>
      </c>
      <c r="J88" s="7">
        <f t="shared" si="61"/>
        <v>53514.94509574973</v>
      </c>
      <c r="K88" s="7">
        <f t="shared" si="62"/>
        <v>0</v>
      </c>
      <c r="L88" s="7">
        <f t="shared" si="63"/>
        <v>101299.99999999999</v>
      </c>
      <c r="M88" s="7">
        <f t="shared" si="64"/>
        <v>2.166709014493066</v>
      </c>
      <c r="N88" s="7">
        <f t="shared" si="65"/>
        <v>0</v>
      </c>
      <c r="O88" s="7">
        <f t="shared" si="66"/>
        <v>0</v>
      </c>
      <c r="P88" s="7">
        <f t="shared" si="67"/>
        <v>0</v>
      </c>
      <c r="Q88" s="7">
        <f t="shared" si="68"/>
        <v>0</v>
      </c>
      <c r="R88" s="7">
        <f t="shared" si="69"/>
        <v>0.4851020859848831</v>
      </c>
      <c r="S88" s="7">
        <f t="shared" si="70"/>
        <v>-0.4851020859848831</v>
      </c>
      <c r="T88" s="7">
        <f t="shared" si="71"/>
        <v>-2.8832208192432747</v>
      </c>
      <c r="U88" s="6">
        <f t="shared" si="72"/>
        <v>0</v>
      </c>
      <c r="V88" s="7">
        <f t="shared" si="73"/>
        <v>0</v>
      </c>
      <c r="W88" s="7">
        <f t="shared" si="74"/>
        <v>-0.02883220819243275</v>
      </c>
      <c r="X88" s="7">
        <f t="shared" si="75"/>
        <v>0.18321088463657476</v>
      </c>
    </row>
    <row r="89" spans="4:24" ht="12.75">
      <c r="D89" s="7">
        <f t="shared" si="0"/>
        <v>0.5400000000000003</v>
      </c>
      <c r="E89" s="7">
        <f t="shared" si="57"/>
        <v>18.29225625546504</v>
      </c>
      <c r="F89" s="7">
        <f t="shared" si="58"/>
        <v>9.003033748547377</v>
      </c>
      <c r="G89" s="7">
        <f t="shared" si="59"/>
        <v>101299.99999999999</v>
      </c>
      <c r="H89" s="62">
        <f t="shared" si="60"/>
        <v>2.166709014493066</v>
      </c>
      <c r="I89" s="63">
        <f t="shared" si="6"/>
        <v>0.0032500635217395987</v>
      </c>
      <c r="J89" s="7">
        <f t="shared" si="61"/>
        <v>53514.94509574973</v>
      </c>
      <c r="K89" s="7">
        <f t="shared" si="62"/>
        <v>0</v>
      </c>
      <c r="L89" s="7">
        <f t="shared" si="63"/>
        <v>101299.99999999999</v>
      </c>
      <c r="M89" s="7">
        <f t="shared" si="64"/>
        <v>2.166709014493066</v>
      </c>
      <c r="N89" s="7">
        <f t="shared" si="65"/>
        <v>0</v>
      </c>
      <c r="O89" s="7">
        <f t="shared" si="66"/>
        <v>0</v>
      </c>
      <c r="P89" s="7">
        <f t="shared" si="67"/>
        <v>0</v>
      </c>
      <c r="Q89" s="7">
        <f t="shared" si="68"/>
        <v>0</v>
      </c>
      <c r="R89" s="7">
        <f t="shared" si="69"/>
        <v>0.48357646059221543</v>
      </c>
      <c r="S89" s="7">
        <f t="shared" si="70"/>
        <v>-0.48357646059221543</v>
      </c>
      <c r="T89" s="7">
        <f t="shared" si="71"/>
        <v>-2.874153212606261</v>
      </c>
      <c r="U89" s="6">
        <f t="shared" si="72"/>
        <v>0</v>
      </c>
      <c r="V89" s="7">
        <f t="shared" si="73"/>
        <v>0</v>
      </c>
      <c r="W89" s="7">
        <f t="shared" si="74"/>
        <v>-0.028741532126062612</v>
      </c>
      <c r="X89" s="7">
        <f t="shared" si="75"/>
        <v>0.18292256255465042</v>
      </c>
    </row>
    <row r="90" spans="4:24" ht="12.75">
      <c r="D90" s="7">
        <f t="shared" si="0"/>
        <v>0.5500000000000003</v>
      </c>
      <c r="E90" s="7">
        <f t="shared" si="57"/>
        <v>18.26351472333898</v>
      </c>
      <c r="F90" s="7">
        <f t="shared" si="58"/>
        <v>9.185956311102027</v>
      </c>
      <c r="G90" s="7">
        <f t="shared" si="59"/>
        <v>101299.99999999999</v>
      </c>
      <c r="H90" s="62">
        <f t="shared" si="60"/>
        <v>2.166709014493066</v>
      </c>
      <c r="I90" s="63">
        <f t="shared" si="6"/>
        <v>0.0032500635217395987</v>
      </c>
      <c r="J90" s="7">
        <f t="shared" si="61"/>
        <v>53514.94509574973</v>
      </c>
      <c r="K90" s="7">
        <f t="shared" si="62"/>
        <v>0</v>
      </c>
      <c r="L90" s="7">
        <f t="shared" si="63"/>
        <v>101299.99999999999</v>
      </c>
      <c r="M90" s="7">
        <f t="shared" si="64"/>
        <v>2.166709014493066</v>
      </c>
      <c r="N90" s="7">
        <f t="shared" si="65"/>
        <v>0</v>
      </c>
      <c r="O90" s="7">
        <f t="shared" si="66"/>
        <v>0</v>
      </c>
      <c r="P90" s="7">
        <f t="shared" si="67"/>
        <v>0</v>
      </c>
      <c r="Q90" s="7">
        <f t="shared" si="68"/>
        <v>0</v>
      </c>
      <c r="R90" s="7">
        <f t="shared" si="69"/>
        <v>0.4820580246965267</v>
      </c>
      <c r="S90" s="7">
        <f t="shared" si="70"/>
        <v>-0.4820580246965267</v>
      </c>
      <c r="T90" s="7">
        <f t="shared" si="71"/>
        <v>-2.865128336990137</v>
      </c>
      <c r="U90" s="6">
        <f t="shared" si="72"/>
        <v>0</v>
      </c>
      <c r="V90" s="7">
        <f t="shared" si="73"/>
        <v>0</v>
      </c>
      <c r="W90" s="7">
        <f t="shared" si="74"/>
        <v>-0.02865128336990137</v>
      </c>
      <c r="X90" s="7">
        <f t="shared" si="75"/>
        <v>0.18263514723338978</v>
      </c>
    </row>
    <row r="91" spans="4:24" ht="12.75">
      <c r="D91" s="7">
        <f t="shared" si="0"/>
        <v>0.5600000000000003</v>
      </c>
      <c r="E91" s="7">
        <f t="shared" si="57"/>
        <v>18.23486343996908</v>
      </c>
      <c r="F91" s="7">
        <f t="shared" si="58"/>
        <v>9.368591458335416</v>
      </c>
      <c r="G91" s="7">
        <f t="shared" si="59"/>
        <v>101299.99999999999</v>
      </c>
      <c r="H91" s="62">
        <f t="shared" si="60"/>
        <v>2.166709014493066</v>
      </c>
      <c r="I91" s="63">
        <f t="shared" si="6"/>
        <v>0.0032500635217395987</v>
      </c>
      <c r="J91" s="7">
        <f t="shared" si="61"/>
        <v>53514.94509574973</v>
      </c>
      <c r="K91" s="7">
        <f t="shared" si="62"/>
        <v>0</v>
      </c>
      <c r="L91" s="7">
        <f t="shared" si="63"/>
        <v>101299.99999999999</v>
      </c>
      <c r="M91" s="7">
        <f t="shared" si="64"/>
        <v>2.166709014493066</v>
      </c>
      <c r="N91" s="7">
        <f t="shared" si="65"/>
        <v>0</v>
      </c>
      <c r="O91" s="7">
        <f t="shared" si="66"/>
        <v>0</v>
      </c>
      <c r="P91" s="7">
        <f t="shared" si="67"/>
        <v>0</v>
      </c>
      <c r="Q91" s="7">
        <f t="shared" si="68"/>
        <v>0</v>
      </c>
      <c r="R91" s="7">
        <f t="shared" si="69"/>
        <v>0.4805467331770959</v>
      </c>
      <c r="S91" s="7">
        <f t="shared" si="70"/>
        <v>-0.4805467331770959</v>
      </c>
      <c r="T91" s="7">
        <f t="shared" si="71"/>
        <v>-2.856145924218355</v>
      </c>
      <c r="U91" s="6">
        <f t="shared" si="72"/>
        <v>0</v>
      </c>
      <c r="V91" s="7">
        <f t="shared" si="73"/>
        <v>0</v>
      </c>
      <c r="W91" s="7">
        <f t="shared" si="74"/>
        <v>-0.02856145924218355</v>
      </c>
      <c r="X91" s="7">
        <f t="shared" si="75"/>
        <v>0.1823486343996908</v>
      </c>
    </row>
    <row r="92" spans="4:24" ht="12.75">
      <c r="D92" s="7">
        <f t="shared" si="0"/>
        <v>0.5700000000000003</v>
      </c>
      <c r="E92" s="7">
        <f t="shared" si="57"/>
        <v>18.206301980726895</v>
      </c>
      <c r="F92" s="7">
        <f t="shared" si="58"/>
        <v>9.550940092735107</v>
      </c>
      <c r="G92" s="7">
        <f t="shared" si="59"/>
        <v>101299.99999999999</v>
      </c>
      <c r="H92" s="62">
        <f t="shared" si="60"/>
        <v>2.166709014493066</v>
      </c>
      <c r="I92" s="63">
        <f t="shared" si="6"/>
        <v>0.0032500635217395987</v>
      </c>
      <c r="J92" s="7">
        <f t="shared" si="61"/>
        <v>53514.94509574973</v>
      </c>
      <c r="K92" s="7">
        <f t="shared" si="62"/>
        <v>0</v>
      </c>
      <c r="L92" s="7">
        <f t="shared" si="63"/>
        <v>101299.99999999999</v>
      </c>
      <c r="M92" s="7">
        <f t="shared" si="64"/>
        <v>2.166709014493066</v>
      </c>
      <c r="N92" s="7">
        <f t="shared" si="65"/>
        <v>0</v>
      </c>
      <c r="O92" s="7">
        <f t="shared" si="66"/>
        <v>0</v>
      </c>
      <c r="P92" s="7">
        <f t="shared" si="67"/>
        <v>0</v>
      </c>
      <c r="Q92" s="7">
        <f t="shared" si="68"/>
        <v>0</v>
      </c>
      <c r="R92" s="7">
        <f t="shared" si="69"/>
        <v>0.47904254126672474</v>
      </c>
      <c r="S92" s="7">
        <f t="shared" si="70"/>
        <v>-0.47904254126672474</v>
      </c>
      <c r="T92" s="7">
        <f t="shared" si="71"/>
        <v>-2.8472057082155433</v>
      </c>
      <c r="U92" s="6">
        <f t="shared" si="72"/>
        <v>0</v>
      </c>
      <c r="V92" s="7">
        <f t="shared" si="73"/>
        <v>0</v>
      </c>
      <c r="W92" s="7">
        <f t="shared" si="74"/>
        <v>-0.028472057082155434</v>
      </c>
      <c r="X92" s="7">
        <f t="shared" si="75"/>
        <v>0.18206301980726897</v>
      </c>
    </row>
  </sheetData>
  <sheetProtection/>
  <mergeCells count="23">
    <mergeCell ref="G26:S26"/>
    <mergeCell ref="J30:Q30"/>
    <mergeCell ref="G15:S15"/>
    <mergeCell ref="G19:S19"/>
    <mergeCell ref="G23:S23"/>
    <mergeCell ref="G27:S27"/>
    <mergeCell ref="E30:I30"/>
    <mergeCell ref="G13:S13"/>
    <mergeCell ref="G16:S16"/>
    <mergeCell ref="G10:S10"/>
    <mergeCell ref="G12:S12"/>
    <mergeCell ref="G24:S24"/>
    <mergeCell ref="G25:S25"/>
    <mergeCell ref="B6:B13"/>
    <mergeCell ref="B14:B18"/>
    <mergeCell ref="B23:B27"/>
    <mergeCell ref="D2:N2"/>
    <mergeCell ref="G6:S6"/>
    <mergeCell ref="G7:S7"/>
    <mergeCell ref="G8:S8"/>
    <mergeCell ref="G11:S11"/>
    <mergeCell ref="G14:S14"/>
    <mergeCell ref="G9:S9"/>
  </mergeCells>
  <printOptions/>
  <pageMargins left="0.28" right="0.2" top="0.984251968503937" bottom="0.62" header="0.5118110236220472" footer="0.5118110236220472"/>
  <pageSetup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cp:lastPrinted>2009-11-16T13:20:48Z</cp:lastPrinted>
  <dcterms:created xsi:type="dcterms:W3CDTF">2004-06-21T14:00:50Z</dcterms:created>
  <dcterms:modified xsi:type="dcterms:W3CDTF">2020-07-29T09:03:26Z</dcterms:modified>
  <cp:category/>
  <cp:version/>
  <cp:contentType/>
  <cp:contentStatus/>
</cp:coreProperties>
</file>